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tabRatio="927" activeTab="0"/>
  </bookViews>
  <sheets>
    <sheet name="千葉市１" sheetId="1" r:id="rId1"/>
    <sheet name="千葉市２" sheetId="2" r:id="rId2"/>
    <sheet name="銚子市" sheetId="3" r:id="rId3"/>
    <sheet name="市川市" sheetId="4" r:id="rId4"/>
    <sheet name="船橋市" sheetId="5" r:id="rId5"/>
    <sheet name="松戸市１" sheetId="6" r:id="rId6"/>
    <sheet name="松戸市２" sheetId="7" r:id="rId7"/>
    <sheet name="旭市" sheetId="8" r:id="rId8"/>
    <sheet name="柏市" sheetId="9" r:id="rId9"/>
    <sheet name="鴨川市" sheetId="10" r:id="rId10"/>
    <sheet name="南房総市" sheetId="11" r:id="rId11"/>
    <sheet name="匝瑳市" sheetId="12" r:id="rId12"/>
    <sheet name="山武市" sheetId="13" r:id="rId13"/>
    <sheet name="大網白里市" sheetId="14" r:id="rId14"/>
    <sheet name="多古町" sheetId="15" r:id="rId15"/>
    <sheet name="東庄町" sheetId="16" r:id="rId16"/>
    <sheet name="横芝光町" sheetId="17" r:id="rId17"/>
    <sheet name="鋸南町" sheetId="18" r:id="rId18"/>
    <sheet name="香取市東庄町病院組合" sheetId="19" r:id="rId19"/>
    <sheet name="国保国吉病院組合" sheetId="20" r:id="rId20"/>
    <sheet name="君津中央病院企業団１" sheetId="21" r:id="rId21"/>
    <sheet name="君津中央病院企業団２" sheetId="22" r:id="rId22"/>
    <sheet name="長生郡市広域市町村圏組合" sheetId="23" r:id="rId23"/>
  </sheets>
  <definedNames>
    <definedName name="_xlnm.Print_Area" localSheetId="7">'旭市'!$A$2:$AB$64</definedName>
    <definedName name="_xlnm.Print_Area" localSheetId="16">'横芝光町'!$A$2:$AB$64</definedName>
    <definedName name="_xlnm.Print_Area" localSheetId="9">'鴨川市'!$A$2:$AB$64</definedName>
    <definedName name="_xlnm.Print_Area" localSheetId="17">'鋸南町'!$A$2:$AB$64</definedName>
    <definedName name="_xlnm.Print_Area" localSheetId="20">'君津中央病院企業団１'!$A$2:$AB$64</definedName>
    <definedName name="_xlnm.Print_Area" localSheetId="21">'君津中央病院企業団２'!$A$2:$AB$64</definedName>
    <definedName name="_xlnm.Print_Area" localSheetId="18">'香取市東庄町病院組合'!$A$2:$AB$64</definedName>
    <definedName name="_xlnm.Print_Area" localSheetId="19">'国保国吉病院組合'!$A$2:$AB$64</definedName>
    <definedName name="_xlnm.Print_Area" localSheetId="12">'山武市'!$A$2:$AB$64</definedName>
    <definedName name="_xlnm.Print_Area" localSheetId="3">'市川市'!$A$2:$AB$64</definedName>
    <definedName name="_xlnm.Print_Area" localSheetId="5">'松戸市１'!$A$2:$AB$64</definedName>
    <definedName name="_xlnm.Print_Area" localSheetId="6">'松戸市２'!$A$2:$AB$64</definedName>
    <definedName name="_xlnm.Print_Area" localSheetId="0">'千葉市１'!$A$2:$AB$64</definedName>
    <definedName name="_xlnm.Print_Area" localSheetId="1">'千葉市２'!$A$2:$AB$64</definedName>
    <definedName name="_xlnm.Print_Area" localSheetId="4">'船橋市'!$A$2:$AB$64</definedName>
    <definedName name="_xlnm.Print_Area" localSheetId="11">'匝瑳市'!$A$2:$AB$64</definedName>
    <definedName name="_xlnm.Print_Area" localSheetId="14">'多古町'!$A$2:$AB$64</definedName>
    <definedName name="_xlnm.Print_Area" localSheetId="13">'大網白里市'!$A$2:$AB$64</definedName>
    <definedName name="_xlnm.Print_Area" localSheetId="2">'銚子市'!$A$2:$AB$64</definedName>
    <definedName name="_xlnm.Print_Area" localSheetId="22">'長生郡市広域市町村圏組合'!$A$2:$AB$64</definedName>
    <definedName name="_xlnm.Print_Area" localSheetId="15">'東庄町'!$A$2:$AB$64</definedName>
    <definedName name="_xlnm.Print_Area" localSheetId="10">'南房総市'!$A$2:$AB$64</definedName>
    <definedName name="_xlnm.Print_Area" localSheetId="8">'柏市'!$A$2:$AB$64</definedName>
  </definedNames>
  <calcPr fullCalcOnLoad="1"/>
</workbook>
</file>

<file path=xl/sharedStrings.xml><?xml version="1.0" encoding="utf-8"?>
<sst xmlns="http://schemas.openxmlformats.org/spreadsheetml/2006/main" count="6442" uniqueCount="442">
  <si>
    <t>病  院  事  業  の  経  営  状  況  （ 法 適 ）</t>
  </si>
  <si>
    <t>（団体名）　千葉市　　　   　　　　　　　　　　　　　　　</t>
  </si>
  <si>
    <t>（金額：千円）</t>
  </si>
  <si>
    <t xml:space="preserve">  事業開始年月日</t>
  </si>
  <si>
    <t>項目</t>
  </si>
  <si>
    <t>年度</t>
  </si>
  <si>
    <t>平成23年度</t>
  </si>
  <si>
    <t>平成24年度</t>
  </si>
  <si>
    <t>平成25年度</t>
  </si>
  <si>
    <t xml:space="preserve">  法適用年月日</t>
  </si>
  <si>
    <t>（看護配置</t>
  </si>
  <si>
    <t>：</t>
  </si>
  <si>
    <t>）</t>
  </si>
  <si>
    <t>収 益 的 収 支</t>
  </si>
  <si>
    <t xml:space="preserve">  総 収 益 (B+E)</t>
  </si>
  <si>
    <t>A</t>
  </si>
  <si>
    <t xml:space="preserve">  病 院 名</t>
  </si>
  <si>
    <t>千葉市立青葉病院</t>
  </si>
  <si>
    <t>う ち</t>
  </si>
  <si>
    <t xml:space="preserve">  経常収益 (C+D)</t>
  </si>
  <si>
    <t>B</t>
  </si>
  <si>
    <t xml:space="preserve">  診療科目</t>
  </si>
  <si>
    <t>内、精神、神経内、呼吸器内、消化器内、循環器内、血液内、感染症内、糖尿病・代謝内、内分泌内、小児、外、消化器外、整形外、脳神経外、皮膚、泌尿器、産婦人、眼、耳鼻いんこう、ﾘﾊﾋﾞﾘﾃｰｼｮﾝ、放射線、歯、麻酔、病理診断、救急</t>
  </si>
  <si>
    <t xml:space="preserve">  医業収益</t>
  </si>
  <si>
    <t>C</t>
  </si>
  <si>
    <t>うち</t>
  </si>
  <si>
    <t xml:space="preserve">  入院収益</t>
  </si>
  <si>
    <t>施  設</t>
  </si>
  <si>
    <t xml:space="preserve">  年度末許可(稼動) 病床数</t>
  </si>
  <si>
    <t>（床）</t>
  </si>
  <si>
    <t>（</t>
  </si>
  <si>
    <t xml:space="preserve">  外来収益</t>
  </si>
  <si>
    <t>内訳</t>
  </si>
  <si>
    <t xml:space="preserve">  一般病床</t>
  </si>
  <si>
    <t xml:space="preserve">  他会計負担金</t>
  </si>
  <si>
    <t>　療養病床</t>
  </si>
  <si>
    <t xml:space="preserve">  医業外収益</t>
  </si>
  <si>
    <t>D</t>
  </si>
  <si>
    <t xml:space="preserve">  結核病床</t>
  </si>
  <si>
    <t xml:space="preserve">  他会計繰入金</t>
  </si>
  <si>
    <t xml:space="preserve">  精神病床</t>
  </si>
  <si>
    <t xml:space="preserve">  特別利益</t>
  </si>
  <si>
    <t>E</t>
  </si>
  <si>
    <t xml:space="preserve">  感染病床</t>
  </si>
  <si>
    <t xml:space="preserve">  総 費 用 (G+J)</t>
  </si>
  <si>
    <t>F</t>
  </si>
  <si>
    <t xml:space="preserve">  室料差額病床数</t>
  </si>
  <si>
    <t xml:space="preserve">  経常費用 (H+I)</t>
  </si>
  <si>
    <t>G</t>
  </si>
  <si>
    <t xml:space="preserve">  救急告示病床数</t>
  </si>
  <si>
    <t xml:space="preserve">  医業費用</t>
  </si>
  <si>
    <t>H</t>
  </si>
  <si>
    <t xml:space="preserve">  病院施設延面積</t>
  </si>
  <si>
    <t>（m2）</t>
  </si>
  <si>
    <t xml:space="preserve">  職員給与費</t>
  </si>
  <si>
    <t xml:space="preserve">  高・準看養成所　現員（定数）</t>
  </si>
  <si>
    <t>（人）</t>
  </si>
  <si>
    <t>　　　　</t>
  </si>
  <si>
    <t>（　　　）</t>
  </si>
  <si>
    <t xml:space="preserve">  材料費</t>
  </si>
  <si>
    <t>職員数</t>
  </si>
  <si>
    <r>
      <t xml:space="preserve">  年度末全職員数</t>
    </r>
    <r>
      <rPr>
        <sz val="11"/>
        <color indexed="8"/>
        <rFont val="ＭＳ Ｐゴシック"/>
        <family val="3"/>
      </rPr>
      <t>（100床当り職員数）</t>
    </r>
  </si>
  <si>
    <t>(人）</t>
  </si>
  <si>
    <t xml:space="preserve">  減価償却費</t>
  </si>
  <si>
    <t>う
ち</t>
  </si>
  <si>
    <t xml:space="preserve">  医師</t>
  </si>
  <si>
    <t xml:space="preserve">  医業外費用</t>
  </si>
  <si>
    <t>I</t>
  </si>
  <si>
    <t xml:space="preserve">  看護部門</t>
  </si>
  <si>
    <t xml:space="preserve">  支払利息</t>
  </si>
  <si>
    <t xml:space="preserve">  事務部門</t>
  </si>
  <si>
    <t xml:space="preserve">  特別損失</t>
  </si>
  <si>
    <t>J</t>
  </si>
  <si>
    <t>経営分析</t>
  </si>
  <si>
    <t xml:space="preserve">  病床利用率</t>
  </si>
  <si>
    <t>（％）</t>
  </si>
  <si>
    <t xml:space="preserve">  経常利益(経常損失) (B-G)</t>
  </si>
  <si>
    <t xml:space="preserve">  稼動病床利用率</t>
  </si>
  <si>
    <t xml:space="preserve">  純 利 益(純損失) (A-F)</t>
  </si>
  <si>
    <t xml:space="preserve">       〃     （除感染病床）</t>
  </si>
  <si>
    <t>資本的収支</t>
  </si>
  <si>
    <t xml:space="preserve">  資本的収入</t>
  </si>
  <si>
    <t>K</t>
  </si>
  <si>
    <t xml:space="preserve">  平均在院日数</t>
  </si>
  <si>
    <t>（日）</t>
  </si>
  <si>
    <t xml:space="preserve">  企 業 債</t>
  </si>
  <si>
    <t>　一日平均患者数</t>
  </si>
  <si>
    <t>入院</t>
  </si>
  <si>
    <t xml:space="preserve">  他会計繰入金</t>
  </si>
  <si>
    <t>外来</t>
  </si>
  <si>
    <t xml:space="preserve">  資本的支出</t>
  </si>
  <si>
    <t>L</t>
  </si>
  <si>
    <t xml:space="preserve">  年延患者数</t>
  </si>
  <si>
    <t xml:space="preserve">  建設改良費</t>
  </si>
  <si>
    <t xml:space="preserve">  企業債償還元金</t>
  </si>
  <si>
    <t xml:space="preserve">  外来入院患者比率</t>
  </si>
  <si>
    <t xml:space="preserve">  収支差引 (K-L)</t>
  </si>
  <si>
    <t>M</t>
  </si>
  <si>
    <t xml:space="preserve">  職員一人当り診療収入</t>
  </si>
  <si>
    <t>（千円）</t>
  </si>
  <si>
    <t xml:space="preserve">  補填財源</t>
  </si>
  <si>
    <t>N</t>
  </si>
  <si>
    <t xml:space="preserve">  医師一人一日当り</t>
  </si>
  <si>
    <t xml:space="preserve">  補填財源不足額 （M+N）</t>
  </si>
  <si>
    <t>　患者数</t>
  </si>
  <si>
    <t xml:space="preserve">  余裕資金又は不良債務(△)</t>
  </si>
  <si>
    <t xml:space="preserve">  医師一人一日当り診療収入</t>
  </si>
  <si>
    <t xml:space="preserve">  当年度繰入金合計</t>
  </si>
  <si>
    <t xml:space="preserve">  薬品使用効率</t>
  </si>
  <si>
    <t xml:space="preserve">  基準内繰入金</t>
  </si>
  <si>
    <t xml:space="preserve">  患者一人一日当り</t>
  </si>
  <si>
    <t xml:space="preserve">  支出決算規模</t>
  </si>
  <si>
    <t>　診療収入</t>
  </si>
  <si>
    <t>(円）</t>
  </si>
  <si>
    <t>貸 借 対 照 表</t>
  </si>
  <si>
    <t>資  産</t>
  </si>
  <si>
    <t xml:space="preserve">  固定資産</t>
  </si>
  <si>
    <t>　</t>
  </si>
  <si>
    <t xml:space="preserve"> 総収益（除繰入金）</t>
  </si>
  <si>
    <t xml:space="preserve">  償却資産</t>
  </si>
  <si>
    <t xml:space="preserve"> 薬品収入</t>
  </si>
  <si>
    <t xml:space="preserve">  減価償却引当金(△)</t>
  </si>
  <si>
    <t>　総患者一人一日</t>
  </si>
  <si>
    <t xml:space="preserve"> 総費用</t>
  </si>
  <si>
    <t xml:space="preserve">  流動資産</t>
  </si>
  <si>
    <t>　当り収益費用</t>
  </si>
  <si>
    <t xml:space="preserve"> 給与費</t>
  </si>
  <si>
    <t xml:space="preserve">  現金・預金</t>
  </si>
  <si>
    <t>　　　(円）</t>
  </si>
  <si>
    <t xml:space="preserve"> 薬品費</t>
  </si>
  <si>
    <t xml:space="preserve">  未 収 金</t>
  </si>
  <si>
    <t xml:space="preserve"> 純利益</t>
  </si>
  <si>
    <t xml:space="preserve">  貯 蔵 品</t>
  </si>
  <si>
    <t>　入院患者一人一日当り給食材料費</t>
  </si>
  <si>
    <t>（円）</t>
  </si>
  <si>
    <t xml:space="preserve">  繰延勘定</t>
  </si>
  <si>
    <t>　稼動病床一床一日</t>
  </si>
  <si>
    <t xml:space="preserve"> 医業収益</t>
  </si>
  <si>
    <t xml:space="preserve">  資産合計</t>
  </si>
  <si>
    <t>　当り収益費用（円）</t>
  </si>
  <si>
    <t xml:space="preserve"> 医業費用</t>
  </si>
  <si>
    <t>負 債</t>
  </si>
  <si>
    <t xml:space="preserve">  固定負債</t>
  </si>
  <si>
    <t>費用構成比率(%）</t>
  </si>
  <si>
    <t xml:space="preserve">  流動負債</t>
  </si>
  <si>
    <t xml:space="preserve">  支払利息</t>
  </si>
  <si>
    <t xml:space="preserve">  一時借入金</t>
  </si>
  <si>
    <t xml:space="preserve">  未払金・未払費用</t>
  </si>
  <si>
    <t xml:space="preserve">  材料費</t>
  </si>
  <si>
    <t xml:space="preserve">  負債合計</t>
  </si>
  <si>
    <t xml:space="preserve">  その他</t>
  </si>
  <si>
    <t>資  本</t>
  </si>
  <si>
    <t xml:space="preserve">  資 本 金</t>
  </si>
  <si>
    <t>財務分析(%)</t>
  </si>
  <si>
    <t xml:space="preserve">  自己資本構成比率</t>
  </si>
  <si>
    <t xml:space="preserve">  自己資本金</t>
  </si>
  <si>
    <t xml:space="preserve">  流動比率</t>
  </si>
  <si>
    <t xml:space="preserve">  経常収支比率</t>
  </si>
  <si>
    <t xml:space="preserve">  他会計借入金</t>
  </si>
  <si>
    <t xml:space="preserve">  医業収支比率</t>
  </si>
  <si>
    <t xml:space="preserve">  剰 余 金</t>
  </si>
  <si>
    <t xml:space="preserve">  累積欠損金比率</t>
  </si>
  <si>
    <t xml:space="preserve">  資本剰余金</t>
  </si>
  <si>
    <t xml:space="preserve">  不良債務比率</t>
  </si>
  <si>
    <t xml:space="preserve">  積 立 金</t>
  </si>
  <si>
    <t>医業収益に対する比率</t>
  </si>
  <si>
    <t xml:space="preserve">  企業債償還元金</t>
  </si>
  <si>
    <t xml:space="preserve">  当年度未処分利益剰余金</t>
  </si>
  <si>
    <t xml:space="preserve">  企業債利息</t>
  </si>
  <si>
    <t xml:space="preserve">  資本合計</t>
  </si>
  <si>
    <t xml:space="preserve">  企業債元利償還金</t>
  </si>
  <si>
    <t xml:space="preserve">  医療材料費</t>
  </si>
  <si>
    <t>：</t>
  </si>
  <si>
    <t>）</t>
  </si>
  <si>
    <t>A</t>
  </si>
  <si>
    <t>千葉市立海浜病院</t>
  </si>
  <si>
    <t>う ち</t>
  </si>
  <si>
    <t>B</t>
  </si>
  <si>
    <t>内、神経内、呼吸器内、消化器内、循環器内、糖尿病・代謝内、小児、小児（新生児）、外、消化器外、整形外、心臓血管外、産、婦人、眼、耳鼻いんこう、ﾘﾊﾋﾞﾘﾃｰｼｮﾝ、放射線、麻酔</t>
  </si>
  <si>
    <t>C</t>
  </si>
  <si>
    <t>うち</t>
  </si>
  <si>
    <t>（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</si>
  <si>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</si>
  <si>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</si>
  <si>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</si>
  <si>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</si>
  <si>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</si>
  <si>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</si>
  <si>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</si>
  <si>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</si>
  <si>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</si>
  <si>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</si>
  <si>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</si>
  <si>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</si>
  <si>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</si>
  <si>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</si>
  <si>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</si>
  <si>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</si>
  <si>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</si>
  <si>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銚子市立病院</t>
  </si>
  <si>
    <t>内科、外科、整形外科、皮膚科、泌尿器科、眼科
耳鼻咽喉科、麻酔科、放射線科、リハビリテーション科</t>
  </si>
  <si>
    <t>　　　　</t>
  </si>
  <si>
    <t>（団体名）　市川市　　　　　　   　　　　　　　　　　　　　　　</t>
  </si>
  <si>
    <t>市川市リハビリテーション病院</t>
  </si>
  <si>
    <t xml:space="preserve"> ﾘﾊﾋﾞﾘﾃｰｼｮﾝ ・ 整形 ・ 内 ・ 消化器  ・ 歯</t>
  </si>
  <si>
    <t>（</t>
  </si>
  <si>
    <t>）</t>
  </si>
  <si>
    <t>船橋市立医療センター</t>
  </si>
  <si>
    <t>内・呼内・消内・循内・代内・緩和ケア内・腫内・精神・小・外・消外・乳外・整・形成・　脳外・呼外・心外・皮膚・泌・産・眼・耳鼻・リハ・放射・麻酔・歯口外</t>
  </si>
  <si>
    <t>国保松戸市立病院</t>
  </si>
  <si>
    <t>内､血内、呼吸器内、外、小児、新生内、産婦人、整外、眼、耳いん、泌尿器、形外、放射線、脳外、皮膚、神内、循環、麻酔、小外、心外、消化、リハビリ、精神、呼吸器外、小児心外、化学療法内、救急</t>
  </si>
  <si>
    <t>）</t>
  </si>
  <si>
    <t>（</t>
  </si>
  <si>
    <t>う
ち</t>
  </si>
  <si>
    <t>I</t>
  </si>
  <si>
    <t>うち</t>
  </si>
  <si>
    <t>J</t>
  </si>
  <si>
    <t>（％）</t>
  </si>
  <si>
    <t>K</t>
  </si>
  <si>
    <t>L</t>
  </si>
  <si>
    <t>M</t>
  </si>
  <si>
    <t>N</t>
  </si>
  <si>
    <t>　</t>
  </si>
  <si>
    <t>松戸市立福祉医療センター東松戸病院</t>
  </si>
  <si>
    <t>内科・精神科・神経内科・呼吸器科・外科・整形外科・
泌尿器科・婦人科・眼科・耳鼻咽喉科・リハビリ</t>
  </si>
  <si>
    <t>総合病院国保旭中央病院</t>
  </si>
  <si>
    <t>全科</t>
  </si>
  <si>
    <t>（団体名）　旭市　　　　　　　　　　　　　　　　　　　　　　</t>
  </si>
  <si>
    <t>病  院  事  業  の  経  営  状  況  （ 法 適 ）</t>
  </si>
  <si>
    <t>（金額：千円）</t>
  </si>
  <si>
    <t xml:space="preserve">  事業開始年月日</t>
  </si>
  <si>
    <t>項目</t>
  </si>
  <si>
    <t>年度</t>
  </si>
  <si>
    <t>平成23年度</t>
  </si>
  <si>
    <t>平成24年度</t>
  </si>
  <si>
    <t>平成25年度</t>
  </si>
  <si>
    <t xml:space="preserve">  法適用年月日</t>
  </si>
  <si>
    <t>（看護配置</t>
  </si>
  <si>
    <t>：</t>
  </si>
  <si>
    <t>収 益 的 収 支</t>
  </si>
  <si>
    <t xml:space="preserve">  総 収 益 (B+E)</t>
  </si>
  <si>
    <t>A</t>
  </si>
  <si>
    <t xml:space="preserve">  病 院 名</t>
  </si>
  <si>
    <t>柏市立柏病院</t>
  </si>
  <si>
    <t>う ち</t>
  </si>
  <si>
    <t xml:space="preserve">  経常収益 (C+D)</t>
  </si>
  <si>
    <t>B</t>
  </si>
  <si>
    <t xml:space="preserve">  診療科目</t>
  </si>
  <si>
    <t>内，内分泌・代謝内，神経内，呼吸器内，消化器内，肝臓内，循環器内，外，整形外，リハビリテーション，眼，泌尿器，麻酔，放射線，小児,救急医療</t>
  </si>
  <si>
    <t xml:space="preserve">  医業収益</t>
  </si>
  <si>
    <t>C</t>
  </si>
  <si>
    <t>うち</t>
  </si>
  <si>
    <t xml:space="preserve">  入院収益</t>
  </si>
  <si>
    <t>施  設</t>
  </si>
  <si>
    <t xml:space="preserve">  年度末許可(稼動) 病床数</t>
  </si>
  <si>
    <t>（床）</t>
  </si>
  <si>
    <t xml:space="preserve">  外来収益</t>
  </si>
  <si>
    <t>内訳</t>
  </si>
  <si>
    <t xml:space="preserve">  一般病床</t>
  </si>
  <si>
    <t>)</t>
  </si>
  <si>
    <t xml:space="preserve">  他会計負担金</t>
  </si>
  <si>
    <t>　療養病床</t>
  </si>
  <si>
    <t xml:space="preserve">  医業外収益</t>
  </si>
  <si>
    <t>D</t>
  </si>
  <si>
    <t xml:space="preserve">  結核病床</t>
  </si>
  <si>
    <t xml:space="preserve">  他会計繰入金</t>
  </si>
  <si>
    <t xml:space="preserve">  精神病床</t>
  </si>
  <si>
    <t xml:space="preserve">  特別利益</t>
  </si>
  <si>
    <t>E</t>
  </si>
  <si>
    <t xml:space="preserve">  感染病床</t>
  </si>
  <si>
    <t xml:space="preserve">  総 費 用 (G+J)</t>
  </si>
  <si>
    <t>F</t>
  </si>
  <si>
    <t xml:space="preserve">  室料差額病床数</t>
  </si>
  <si>
    <t xml:space="preserve">  経常費用 (H+I)</t>
  </si>
  <si>
    <t>G</t>
  </si>
  <si>
    <t xml:space="preserve">  救急告示病床数</t>
  </si>
  <si>
    <t xml:space="preserve">  医業費用</t>
  </si>
  <si>
    <t>H</t>
  </si>
  <si>
    <t xml:space="preserve">  病院施設延面積</t>
  </si>
  <si>
    <t>（m2）</t>
  </si>
  <si>
    <t xml:space="preserve">  職員給与費</t>
  </si>
  <si>
    <t xml:space="preserve">  高・準看養成所　現員（定数）</t>
  </si>
  <si>
    <t>（人）</t>
  </si>
  <si>
    <t>（　　　）</t>
  </si>
  <si>
    <t xml:space="preserve">  材料費</t>
  </si>
  <si>
    <t>職員数</t>
  </si>
  <si>
    <r>
      <t xml:space="preserve">  年度末全職員数</t>
    </r>
    <r>
      <rPr>
        <sz val="11"/>
        <color indexed="8"/>
        <rFont val="ＭＳ Ｐゴシック"/>
        <family val="3"/>
      </rPr>
      <t>（100床当り職員数）</t>
    </r>
  </si>
  <si>
    <t>(人）</t>
  </si>
  <si>
    <t xml:space="preserve">  減価償却費</t>
  </si>
  <si>
    <t>う
ち</t>
  </si>
  <si>
    <t xml:space="preserve">  医師</t>
  </si>
  <si>
    <t xml:space="preserve">  医業外費用</t>
  </si>
  <si>
    <t>I</t>
  </si>
  <si>
    <t xml:space="preserve">  看護部門</t>
  </si>
  <si>
    <t xml:space="preserve">  支払利息</t>
  </si>
  <si>
    <t xml:space="preserve">  事務部門</t>
  </si>
  <si>
    <t xml:space="preserve">  特別損失</t>
  </si>
  <si>
    <t>J</t>
  </si>
  <si>
    <t>経営分析</t>
  </si>
  <si>
    <t xml:space="preserve">  病床利用率</t>
  </si>
  <si>
    <t>（％）</t>
  </si>
  <si>
    <t xml:space="preserve">  経常利益(経常損失) (B-G)</t>
  </si>
  <si>
    <t xml:space="preserve">  稼動病床利用率</t>
  </si>
  <si>
    <t xml:space="preserve">  純 利 益(純損失) (A-F)</t>
  </si>
  <si>
    <t xml:space="preserve">       〃     （除感染病床）</t>
  </si>
  <si>
    <t>資本的収支</t>
  </si>
  <si>
    <t xml:space="preserve">  資本的収入</t>
  </si>
  <si>
    <t>K</t>
  </si>
  <si>
    <t xml:space="preserve">  平均在院日数</t>
  </si>
  <si>
    <t>（日）</t>
  </si>
  <si>
    <t xml:space="preserve">  企 業 債</t>
  </si>
  <si>
    <t>　一日平均患者数</t>
  </si>
  <si>
    <t>入院</t>
  </si>
  <si>
    <t>外来</t>
  </si>
  <si>
    <t xml:space="preserve">  資本的支出</t>
  </si>
  <si>
    <t>L</t>
  </si>
  <si>
    <t xml:space="preserve">  年延患者数</t>
  </si>
  <si>
    <t xml:space="preserve">  建設改良費</t>
  </si>
  <si>
    <t xml:space="preserve">  企業債償還元金</t>
  </si>
  <si>
    <t xml:space="preserve">  外来入院患者比率</t>
  </si>
  <si>
    <t xml:space="preserve">  収支差引 (K-L)</t>
  </si>
  <si>
    <t>M</t>
  </si>
  <si>
    <t xml:space="preserve">  職員一人当り診療収入</t>
  </si>
  <si>
    <t>（千円）</t>
  </si>
  <si>
    <t xml:space="preserve">  補填財源</t>
  </si>
  <si>
    <t>N</t>
  </si>
  <si>
    <t xml:space="preserve">  医師一人一日当り</t>
  </si>
  <si>
    <t xml:space="preserve">  補填財源不足額 （M+N）</t>
  </si>
  <si>
    <t>　患者数</t>
  </si>
  <si>
    <t xml:space="preserve">  余裕資金又は不良債務(△)</t>
  </si>
  <si>
    <t xml:space="preserve">  医師一人一日当り診療収入</t>
  </si>
  <si>
    <t xml:space="preserve">  当年度繰入金合計</t>
  </si>
  <si>
    <t xml:space="preserve">  薬品使用効率</t>
  </si>
  <si>
    <t xml:space="preserve">  基準内繰入金</t>
  </si>
  <si>
    <t xml:space="preserve">  患者一人一日当り</t>
  </si>
  <si>
    <t xml:space="preserve">  支出決算規模</t>
  </si>
  <si>
    <t>　診療収入</t>
  </si>
  <si>
    <t>(円）</t>
  </si>
  <si>
    <t>貸 借 対 照 表</t>
  </si>
  <si>
    <t>資  産</t>
  </si>
  <si>
    <t xml:space="preserve">  固定資産</t>
  </si>
  <si>
    <t>　</t>
  </si>
  <si>
    <t xml:space="preserve"> 総収益（除繰入金）</t>
  </si>
  <si>
    <t xml:space="preserve">  償却資産</t>
  </si>
  <si>
    <t xml:space="preserve"> 薬品収入</t>
  </si>
  <si>
    <t xml:space="preserve">  減価償却引当金(△)</t>
  </si>
  <si>
    <t>　総患者一人一日</t>
  </si>
  <si>
    <t xml:space="preserve"> 総費用</t>
  </si>
  <si>
    <t xml:space="preserve">  流動資産</t>
  </si>
  <si>
    <t>　当り収益費用</t>
  </si>
  <si>
    <t xml:space="preserve"> 給与費</t>
  </si>
  <si>
    <t xml:space="preserve">  現金・預金</t>
  </si>
  <si>
    <t>　　　(円）</t>
  </si>
  <si>
    <t xml:space="preserve"> 薬品費</t>
  </si>
  <si>
    <t xml:space="preserve">  未 収 金</t>
  </si>
  <si>
    <t xml:space="preserve"> 純利益</t>
  </si>
  <si>
    <t xml:space="preserve">  貯 蔵 品</t>
  </si>
  <si>
    <t>　入院患者一人一日当り給食材料費</t>
  </si>
  <si>
    <t>（円）</t>
  </si>
  <si>
    <t xml:space="preserve">  繰延勘定</t>
  </si>
  <si>
    <t>　稼動病床一床一日</t>
  </si>
  <si>
    <t xml:space="preserve"> 医業収益</t>
  </si>
  <si>
    <t xml:space="preserve">  資産合計</t>
  </si>
  <si>
    <t>　当り収益費用（円）</t>
  </si>
  <si>
    <t xml:space="preserve"> 医業費用</t>
  </si>
  <si>
    <t>負 債</t>
  </si>
  <si>
    <t xml:space="preserve">  固定負債</t>
  </si>
  <si>
    <t>費用構成比率(%）</t>
  </si>
  <si>
    <t xml:space="preserve">  流動負債</t>
  </si>
  <si>
    <t xml:space="preserve">  一時借入金</t>
  </si>
  <si>
    <t xml:space="preserve">  未払金・未払費用</t>
  </si>
  <si>
    <t xml:space="preserve">  負債合計</t>
  </si>
  <si>
    <t xml:space="preserve">  その他</t>
  </si>
  <si>
    <t>資  本</t>
  </si>
  <si>
    <t xml:space="preserve">  資 本 金</t>
  </si>
  <si>
    <t>財務分析(%)</t>
  </si>
  <si>
    <t xml:space="preserve">  自己資本構成比率</t>
  </si>
  <si>
    <t xml:space="preserve">  自己資本金</t>
  </si>
  <si>
    <t xml:space="preserve">  流動比率</t>
  </si>
  <si>
    <t xml:space="preserve">  経常収支比率</t>
  </si>
  <si>
    <t xml:space="preserve">  他会計借入金</t>
  </si>
  <si>
    <t xml:space="preserve">  医業収支比率</t>
  </si>
  <si>
    <t xml:space="preserve">  剰 余 金</t>
  </si>
  <si>
    <t xml:space="preserve">  累積欠損金比率</t>
  </si>
  <si>
    <t xml:space="preserve">  資本剰余金</t>
  </si>
  <si>
    <t xml:space="preserve">  不良債務比率</t>
  </si>
  <si>
    <t xml:space="preserve">  積 立 金</t>
  </si>
  <si>
    <t>医業収益に対する比率</t>
  </si>
  <si>
    <t xml:space="preserve">  当年度未処分利益剰余金</t>
  </si>
  <si>
    <t xml:space="preserve">  企業債利息</t>
  </si>
  <si>
    <t xml:space="preserve">  資本合計</t>
  </si>
  <si>
    <t xml:space="preserve">  企業債元利償還金</t>
  </si>
  <si>
    <t xml:space="preserve">  医療材料費</t>
  </si>
  <si>
    <t>鴨川市立国保病院</t>
  </si>
  <si>
    <t>内科・整形外科・外科・小児科・歯科</t>
  </si>
  <si>
    <t>南房総市立富山国保病院</t>
  </si>
  <si>
    <t>内科・外科・呼吸器科・消化器科・　　　　　　　　　　　　　整形外科・肛門科・リハビリテーション科</t>
  </si>
  <si>
    <t>国保匝瑳市民病院</t>
  </si>
  <si>
    <t>内、外、整形、消化器、リハビリ、眼、耳鼻咽喉、
放射線、麻酔、循環器、呼吸器、脳外、皮膚</t>
  </si>
  <si>
    <t>組合立国保成東病院</t>
  </si>
  <si>
    <t>国保大網病院</t>
  </si>
  <si>
    <t>内科・外科・整形外科・消化器科・眼科・耳鼻咽喉科・皮膚科・リハビリテーション科</t>
  </si>
  <si>
    <t>国保多古中央病院</t>
  </si>
  <si>
    <t>内科・外科・小児科・整形外科・放射線科
リハビリテーション科・皮膚泌尿器科</t>
  </si>
  <si>
    <t>　　　）</t>
  </si>
  <si>
    <t>国保東庄病院</t>
  </si>
  <si>
    <t>内科・整形外科・小児科</t>
  </si>
  <si>
    <t>東陽病院</t>
  </si>
  <si>
    <t>内科，外科，整形外科，婦人科，脳外科，耳鼻科
泌尿器科，皮膚科，眼科，リハビリテーション科</t>
  </si>
  <si>
    <t>昭和４０年　４月　１日</t>
  </si>
  <si>
    <t>鋸南町国民健康保険鋸南病院</t>
  </si>
  <si>
    <t>外科・内科・眼科</t>
  </si>
  <si>
    <t>小見川総合病院</t>
  </si>
  <si>
    <t>内科・外科・産婦人科・眼科・整形外科・耳鼻咽喉科・小児科・皮膚科・泌尿器科・脳神経外科・歯科・放射線科・リハビリテーション科・循環器科</t>
  </si>
  <si>
    <t>いすみ医療センター</t>
  </si>
  <si>
    <t>内・外・整・小・婦・放・耳・皮
眼・歯・消・リハ・泌・脳・神内</t>
  </si>
  <si>
    <t>君津中央病院</t>
  </si>
  <si>
    <t>全科24科目</t>
  </si>
  <si>
    <t>君津中央病院大佐和分院</t>
  </si>
  <si>
    <t>内科、小児科、外科、整形外科、皮膚科、泌尿器科、眼科</t>
  </si>
  <si>
    <t>公立長生病院</t>
  </si>
  <si>
    <t>内・外・産婦・整・児・皮・眼・リ・消・麻・泌・耳・神・内・放</t>
  </si>
  <si>
    <r>
      <t xml:space="preserve">  年度末全職員数</t>
    </r>
    <r>
      <rPr>
        <sz val="11"/>
        <rFont val="ＭＳ Ｐゴシック"/>
        <family val="3"/>
      </rPr>
      <t>（100床当り職員数）</t>
    </r>
  </si>
  <si>
    <t>（団体名）　銚子市　　　　　   　　　　　　　　　　　　　　　</t>
  </si>
  <si>
    <t>（団体名）　船橋市　　　　　   　　　　　　　　　　　　　　　</t>
  </si>
  <si>
    <t>（団体名）　松戸市　　　　   　　　　　　　　　　　　　　　</t>
  </si>
  <si>
    <t>（団体名）　松戸市　　　   　　　　　　　　　　　　　　　</t>
  </si>
  <si>
    <t>（団体名）　柏市   　　　　　　　　　　　　　　　</t>
  </si>
  <si>
    <t>（団体名）　鴨川　　　　　　　　　　　　　　　　</t>
  </si>
  <si>
    <t>（団体名）　南房総市　　　　　　　　　　　　　　　</t>
  </si>
  <si>
    <t>（団体名）　匝瑳市　　   　　　　　　　　　　　　　　　</t>
  </si>
  <si>
    <t>（団体名）　山武市　  　　　　　　　　　　　　　　　</t>
  </si>
  <si>
    <t>（団体名）　大網白里市　　　　　　　　　　　　　　</t>
  </si>
  <si>
    <t>（団体名）　多古町  　　　　　　　　　　　　　　　</t>
  </si>
  <si>
    <t>（団体名）　東庄町   　　　　　　　　　　　　　　　</t>
  </si>
  <si>
    <t>（団体名）　横芝光町　　　　　　　　　　　　　　　</t>
  </si>
  <si>
    <t>（団体名）　鋸南町　　　　　　　　　　　　　　　</t>
  </si>
  <si>
    <t>（団体名）　香取市東庄町病院組合　　　　　　</t>
  </si>
  <si>
    <t>（団体名）　国保国吉病院組合　　　　　　　　　</t>
  </si>
  <si>
    <t>（団体名）　君津中央病院企業団　　　　　　　</t>
  </si>
  <si>
    <t>（団体名）　君津中央病院企業団　　　　　　　　</t>
  </si>
  <si>
    <t>（団体名）　長生郡市広域市町村圏組合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</si>
</sst>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.0_ "/>
    <numFmt numFmtId="179" formatCode="#,##0.0_);[Red]\(#,##0.0\)"/>
    <numFmt numFmtId="180" formatCode="#,##0;&quot;△ &quot;#,##0"/>
    <numFmt numFmtId="181" formatCode="#,##0_);[Red]\(#,##0\)"/>
    <numFmt numFmtId="182" formatCode="#,##0;&quot;▲ &quot;#,##0"/>
    <numFmt numFmtId="183" formatCode="0.0"/>
    <numFmt numFmtId="184" formatCode="#,##0.0_ "/>
    <numFmt numFmtId="185" formatCode="#,##0.0"/>
    <numFmt numFmtId="186" formatCode="0;&quot;△ &quot;0"/>
    <numFmt numFmtId="187" formatCode="#,##0.0;[Red]\-#,##0.0"/>
    <numFmt numFmtId="188" formatCode="0;&quot;▲ &quot;0"/>
    <numFmt numFmtId="189" formatCode="#,##0.0;&quot;▲ &quot;#,##0.0"/>
  </numFmts>
  <fonts count="6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8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929">
    <xf numFmtId="0" fontId="0" fillId="0" borderId="0" xfId="0" applyAlignment="1">
      <alignment vertical="center"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right"/>
      <protection/>
    </xf>
    <xf numFmtId="0" fontId="57" fillId="0" borderId="0" xfId="63" applyFont="1" applyFill="1" applyAlignment="1">
      <alignment horizontal="centerContinuous"/>
      <protection/>
    </xf>
    <xf numFmtId="0" fontId="58" fillId="0" borderId="0" xfId="63" applyFont="1" applyFill="1" applyAlignment="1">
      <alignment horizontal="centerContinuous"/>
      <protection/>
    </xf>
    <xf numFmtId="0" fontId="59" fillId="0" borderId="0" xfId="63" applyFont="1" applyFill="1" applyAlignment="1">
      <alignment/>
      <protection/>
    </xf>
    <xf numFmtId="0" fontId="56" fillId="0" borderId="0" xfId="63" applyFont="1" applyFill="1" applyAlignment="1">
      <alignment horizontal="center"/>
      <protection/>
    </xf>
    <xf numFmtId="38" fontId="56" fillId="0" borderId="0" xfId="51" applyFont="1" applyFill="1" applyAlignment="1">
      <alignment vertical="center"/>
    </xf>
    <xf numFmtId="38" fontId="56" fillId="0" borderId="10" xfId="51" applyFont="1" applyFill="1" applyBorder="1" applyAlignment="1">
      <alignment vertical="center"/>
    </xf>
    <xf numFmtId="38" fontId="56" fillId="0" borderId="11" xfId="51" applyFont="1" applyFill="1" applyBorder="1" applyAlignment="1">
      <alignment vertical="center"/>
    </xf>
    <xf numFmtId="38" fontId="56" fillId="0" borderId="12" xfId="51" applyFont="1" applyFill="1" applyBorder="1" applyAlignment="1">
      <alignment horizontal="right" vertical="center" shrinkToFit="1"/>
    </xf>
    <xf numFmtId="38" fontId="56" fillId="0" borderId="0" xfId="51" applyFont="1" applyFill="1" applyBorder="1" applyAlignment="1">
      <alignment horizontal="center" vertical="center" shrinkToFit="1"/>
    </xf>
    <xf numFmtId="38" fontId="56" fillId="0" borderId="10" xfId="51" applyFont="1" applyFill="1" applyBorder="1" applyAlignment="1">
      <alignment/>
    </xf>
    <xf numFmtId="38" fontId="56" fillId="0" borderId="12" xfId="51" applyFont="1" applyFill="1" applyBorder="1" applyAlignment="1">
      <alignment horizontal="right" vertical="top"/>
    </xf>
    <xf numFmtId="38" fontId="56" fillId="0" borderId="11" xfId="51" applyFont="1" applyFill="1" applyBorder="1" applyAlignment="1">
      <alignment horizontal="center" vertical="center"/>
    </xf>
    <xf numFmtId="38" fontId="56" fillId="0" borderId="13" xfId="51" applyFont="1" applyFill="1" applyBorder="1" applyAlignment="1">
      <alignment horizontal="center" vertical="center"/>
    </xf>
    <xf numFmtId="38" fontId="56" fillId="0" borderId="12" xfId="51" applyFont="1" applyFill="1" applyBorder="1" applyAlignment="1">
      <alignment horizontal="center" vertical="center"/>
    </xf>
    <xf numFmtId="177" fontId="56" fillId="0" borderId="11" xfId="43" applyNumberFormat="1" applyFont="1" applyFill="1" applyBorder="1" applyAlignment="1" applyProtection="1">
      <alignment horizontal="center" vertical="center"/>
      <protection locked="0"/>
    </xf>
    <xf numFmtId="38" fontId="56" fillId="0" borderId="11" xfId="51" applyFont="1" applyFill="1" applyBorder="1" applyAlignment="1" applyProtection="1">
      <alignment horizontal="center" vertical="center"/>
      <protection/>
    </xf>
    <xf numFmtId="38" fontId="56" fillId="0" borderId="11" xfId="51" applyFont="1" applyFill="1" applyBorder="1" applyAlignment="1" applyProtection="1">
      <alignment horizontal="center" vertical="center"/>
      <protection locked="0"/>
    </xf>
    <xf numFmtId="38" fontId="56" fillId="0" borderId="12" xfId="51" applyFont="1" applyFill="1" applyBorder="1" applyAlignment="1" applyProtection="1">
      <alignment horizontal="left" vertical="center" shrinkToFit="1"/>
      <protection/>
    </xf>
    <xf numFmtId="38" fontId="56" fillId="0" borderId="14" xfId="51" applyFont="1" applyFill="1" applyBorder="1" applyAlignment="1">
      <alignment horizontal="left" vertical="center" shrinkToFit="1"/>
    </xf>
    <xf numFmtId="38" fontId="56" fillId="0" borderId="15" xfId="51" applyFont="1" applyFill="1" applyBorder="1" applyAlignment="1">
      <alignment vertical="center"/>
    </xf>
    <xf numFmtId="38" fontId="56" fillId="0" borderId="16" xfId="51" applyFont="1" applyFill="1" applyBorder="1" applyAlignment="1">
      <alignment vertical="center" shrinkToFit="1"/>
    </xf>
    <xf numFmtId="38" fontId="56" fillId="0" borderId="17" xfId="51" applyFont="1" applyFill="1" applyBorder="1" applyAlignment="1">
      <alignment vertical="center" shrinkToFit="1"/>
    </xf>
    <xf numFmtId="38" fontId="56" fillId="0" borderId="18" xfId="51" applyFont="1" applyFill="1" applyBorder="1" applyAlignment="1">
      <alignment horizontal="center" vertical="center"/>
    </xf>
    <xf numFmtId="38" fontId="56" fillId="0" borderId="15" xfId="51" applyFont="1" applyFill="1" applyBorder="1" applyAlignment="1" applyProtection="1">
      <alignment vertical="center"/>
      <protection locked="0"/>
    </xf>
    <xf numFmtId="38" fontId="56" fillId="0" borderId="16" xfId="51" applyFont="1" applyFill="1" applyBorder="1" applyAlignment="1" applyProtection="1">
      <alignment vertical="center"/>
      <protection locked="0"/>
    </xf>
    <xf numFmtId="38" fontId="56" fillId="0" borderId="19" xfId="51" applyFont="1" applyFill="1" applyBorder="1" applyAlignment="1" applyProtection="1">
      <alignment vertical="center"/>
      <protection locked="0"/>
    </xf>
    <xf numFmtId="38" fontId="56" fillId="0" borderId="12" xfId="51" applyFont="1" applyFill="1" applyBorder="1" applyAlignment="1">
      <alignment vertical="center"/>
    </xf>
    <xf numFmtId="38" fontId="56" fillId="0" borderId="14" xfId="51" applyFont="1" applyFill="1" applyBorder="1" applyAlignment="1">
      <alignment horizontal="center" vertical="center"/>
    </xf>
    <xf numFmtId="38" fontId="56" fillId="0" borderId="20" xfId="51" applyFont="1" applyFill="1" applyBorder="1" applyAlignment="1">
      <alignment vertical="center"/>
    </xf>
    <xf numFmtId="38" fontId="56" fillId="0" borderId="21" xfId="51" applyFont="1" applyFill="1" applyBorder="1" applyAlignment="1">
      <alignment vertical="center"/>
    </xf>
    <xf numFmtId="38" fontId="56" fillId="0" borderId="22" xfId="51" applyFont="1" applyFill="1" applyBorder="1" applyAlignment="1">
      <alignment horizontal="center" vertical="center"/>
    </xf>
    <xf numFmtId="38" fontId="56" fillId="0" borderId="23" xfId="51" applyFont="1" applyFill="1" applyBorder="1" applyAlignment="1" applyProtection="1">
      <alignment vertical="center"/>
      <protection locked="0"/>
    </xf>
    <xf numFmtId="38" fontId="56" fillId="0" borderId="20" xfId="51" applyFont="1" applyFill="1" applyBorder="1" applyAlignment="1" applyProtection="1">
      <alignment vertical="center"/>
      <protection locked="0"/>
    </xf>
    <xf numFmtId="38" fontId="56" fillId="0" borderId="24" xfId="51" applyFont="1" applyFill="1" applyBorder="1" applyAlignment="1" applyProtection="1">
      <alignment vertical="center"/>
      <protection locked="0"/>
    </xf>
    <xf numFmtId="0" fontId="56" fillId="0" borderId="10" xfId="63" applyFont="1" applyFill="1" applyBorder="1" applyAlignment="1">
      <alignment vertical="center"/>
      <protection/>
    </xf>
    <xf numFmtId="0" fontId="56" fillId="0" borderId="11" xfId="63" applyFont="1" applyFill="1" applyBorder="1" applyAlignment="1">
      <alignment vertical="center"/>
      <protection/>
    </xf>
    <xf numFmtId="0" fontId="56" fillId="0" borderId="12" xfId="63" applyFont="1" applyFill="1" applyBorder="1" applyAlignment="1">
      <alignment horizontal="right" vertical="center" shrinkToFit="1"/>
      <protection/>
    </xf>
    <xf numFmtId="0" fontId="56" fillId="0" borderId="14" xfId="63" applyFont="1" applyFill="1" applyBorder="1" applyAlignment="1">
      <alignment horizontal="center" vertical="center" shrinkToFit="1"/>
      <protection/>
    </xf>
    <xf numFmtId="0" fontId="56" fillId="0" borderId="20" xfId="63" applyFont="1" applyFill="1" applyBorder="1" applyAlignment="1">
      <alignment vertical="center"/>
      <protection/>
    </xf>
    <xf numFmtId="0" fontId="56" fillId="0" borderId="21" xfId="63" applyFont="1" applyFill="1" applyBorder="1" applyAlignment="1">
      <alignment vertical="center"/>
      <protection/>
    </xf>
    <xf numFmtId="0" fontId="56" fillId="0" borderId="22" xfId="63" applyFont="1" applyFill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56" fillId="0" borderId="25" xfId="63" applyFont="1" applyFill="1" applyBorder="1" applyAlignment="1">
      <alignment vertical="center"/>
      <protection/>
    </xf>
    <xf numFmtId="0" fontId="56" fillId="0" borderId="26" xfId="63" applyFont="1" applyFill="1" applyBorder="1" applyAlignment="1">
      <alignment vertical="center"/>
      <protection/>
    </xf>
    <xf numFmtId="0" fontId="56" fillId="0" borderId="22" xfId="63" applyFont="1" applyFill="1" applyBorder="1" applyAlignment="1">
      <alignment horizontal="right" vertical="center"/>
      <protection/>
    </xf>
    <xf numFmtId="0" fontId="56" fillId="0" borderId="26" xfId="63" applyFont="1" applyFill="1" applyBorder="1" applyAlignment="1" applyProtection="1">
      <alignment horizontal="center" vertical="center"/>
      <protection locked="0"/>
    </xf>
    <xf numFmtId="0" fontId="56" fillId="0" borderId="26" xfId="63" applyFont="1" applyFill="1" applyBorder="1" applyAlignment="1">
      <alignment horizontal="center" vertical="center"/>
      <protection/>
    </xf>
    <xf numFmtId="38" fontId="56" fillId="0" borderId="26" xfId="51" applyFont="1" applyFill="1" applyBorder="1" applyAlignment="1" applyProtection="1">
      <alignment horizontal="center" vertical="center"/>
      <protection locked="0"/>
    </xf>
    <xf numFmtId="38" fontId="56" fillId="0" borderId="15" xfId="51" applyFont="1" applyFill="1" applyBorder="1" applyAlignment="1">
      <alignment horizontal="center" vertical="center"/>
    </xf>
    <xf numFmtId="38" fontId="56" fillId="0" borderId="17" xfId="51" applyFont="1" applyFill="1" applyBorder="1" applyAlignment="1" applyProtection="1">
      <alignment horizontal="center" vertical="center"/>
      <protection locked="0"/>
    </xf>
    <xf numFmtId="38" fontId="56" fillId="0" borderId="26" xfId="51" applyFont="1" applyFill="1" applyBorder="1" applyAlignment="1">
      <alignment horizontal="center" vertical="center"/>
    </xf>
    <xf numFmtId="38" fontId="56" fillId="0" borderId="0" xfId="51" applyFont="1" applyFill="1" applyBorder="1" applyAlignment="1">
      <alignment horizontal="right" vertical="center"/>
    </xf>
    <xf numFmtId="0" fontId="56" fillId="0" borderId="27" xfId="63" applyFont="1" applyFill="1" applyBorder="1" applyAlignment="1">
      <alignment vertical="center"/>
      <protection/>
    </xf>
    <xf numFmtId="0" fontId="56" fillId="0" borderId="28" xfId="63" applyFont="1" applyFill="1" applyBorder="1" applyAlignment="1">
      <alignment vertical="center"/>
      <protection/>
    </xf>
    <xf numFmtId="0" fontId="56" fillId="0" borderId="29" xfId="63" applyFont="1" applyFill="1" applyBorder="1" applyAlignment="1">
      <alignment horizontal="right" vertical="center"/>
      <protection/>
    </xf>
    <xf numFmtId="0" fontId="56" fillId="0" borderId="30" xfId="63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>
      <alignment horizontal="center" vertical="center"/>
      <protection/>
    </xf>
    <xf numFmtId="38" fontId="56" fillId="0" borderId="30" xfId="51" applyFont="1" applyFill="1" applyBorder="1" applyAlignment="1" applyProtection="1">
      <alignment horizontal="center" vertical="center"/>
      <protection locked="0"/>
    </xf>
    <xf numFmtId="38" fontId="56" fillId="0" borderId="23" xfId="51" applyFont="1" applyFill="1" applyBorder="1" applyAlignment="1">
      <alignment horizontal="center" vertical="center"/>
    </xf>
    <xf numFmtId="38" fontId="56" fillId="0" borderId="21" xfId="51" applyFont="1" applyFill="1" applyBorder="1" applyAlignment="1" applyProtection="1">
      <alignment horizontal="center" vertical="center"/>
      <protection locked="0"/>
    </xf>
    <xf numFmtId="38" fontId="56" fillId="0" borderId="30" xfId="51" applyFont="1" applyFill="1" applyBorder="1" applyAlignment="1">
      <alignment horizontal="center" vertical="center"/>
    </xf>
    <xf numFmtId="38" fontId="56" fillId="0" borderId="31" xfId="51" applyFont="1" applyFill="1" applyBorder="1" applyAlignment="1">
      <alignment horizontal="center" vertical="center"/>
    </xf>
    <xf numFmtId="0" fontId="56" fillId="0" borderId="3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 shrinkToFit="1"/>
      <protection/>
    </xf>
    <xf numFmtId="0" fontId="56" fillId="0" borderId="21" xfId="63" applyFont="1" applyFill="1" applyBorder="1" applyAlignment="1">
      <alignment vertical="center" shrinkToFit="1"/>
      <protection/>
    </xf>
    <xf numFmtId="0" fontId="56" fillId="0" borderId="32" xfId="63" applyFont="1" applyFill="1" applyBorder="1" applyAlignment="1" applyProtection="1">
      <alignment horizontal="center" vertical="center"/>
      <protection locked="0"/>
    </xf>
    <xf numFmtId="0" fontId="56" fillId="0" borderId="23" xfId="63" applyFont="1" applyFill="1" applyBorder="1" applyAlignment="1">
      <alignment vertical="center"/>
      <protection/>
    </xf>
    <xf numFmtId="0" fontId="56" fillId="0" borderId="32" xfId="63" applyFont="1" applyFill="1" applyBorder="1" applyAlignment="1">
      <alignment vertical="center"/>
      <protection/>
    </xf>
    <xf numFmtId="0" fontId="56" fillId="0" borderId="14" xfId="63" applyFont="1" applyFill="1" applyBorder="1" applyAlignment="1">
      <alignment horizontal="right" vertical="center"/>
      <protection/>
    </xf>
    <xf numFmtId="38" fontId="56" fillId="0" borderId="14" xfId="51" applyFont="1" applyFill="1" applyBorder="1" applyAlignment="1">
      <alignment horizontal="right" vertical="center"/>
    </xf>
    <xf numFmtId="0" fontId="56" fillId="0" borderId="33" xfId="63" applyFont="1" applyFill="1" applyBorder="1" applyAlignment="1">
      <alignment vertical="center"/>
      <protection/>
    </xf>
    <xf numFmtId="0" fontId="56" fillId="0" borderId="34" xfId="63" applyFont="1" applyFill="1" applyBorder="1" applyAlignment="1">
      <alignment vertical="center"/>
      <protection/>
    </xf>
    <xf numFmtId="0" fontId="56" fillId="0" borderId="35" xfId="63" applyFont="1" applyFill="1" applyBorder="1" applyAlignment="1">
      <alignment horizontal="right" vertical="center"/>
      <protection/>
    </xf>
    <xf numFmtId="38" fontId="56" fillId="0" borderId="36" xfId="51" applyFont="1" applyFill="1" applyBorder="1" applyAlignment="1" applyProtection="1">
      <alignment horizontal="left" vertical="center"/>
      <protection locked="0"/>
    </xf>
    <xf numFmtId="38" fontId="56" fillId="0" borderId="36" xfId="51" applyFont="1" applyFill="1" applyBorder="1" applyAlignment="1">
      <alignment horizontal="left" vertical="center"/>
    </xf>
    <xf numFmtId="0" fontId="56" fillId="0" borderId="36" xfId="63" applyFont="1" applyFill="1" applyBorder="1" applyAlignment="1" applyProtection="1">
      <alignment vertical="center"/>
      <protection locked="0"/>
    </xf>
    <xf numFmtId="38" fontId="56" fillId="0" borderId="37" xfId="51" applyFont="1" applyFill="1" applyBorder="1" applyAlignment="1">
      <alignment horizontal="right" vertical="center"/>
    </xf>
    <xf numFmtId="38" fontId="56" fillId="0" borderId="38" xfId="51" applyFont="1" applyFill="1" applyBorder="1" applyAlignment="1" applyProtection="1">
      <alignment horizontal="left" vertical="center"/>
      <protection locked="0"/>
    </xf>
    <xf numFmtId="38" fontId="56" fillId="0" borderId="39" xfId="51" applyFont="1" applyFill="1" applyBorder="1" applyAlignment="1">
      <alignment horizontal="right" vertical="center"/>
    </xf>
    <xf numFmtId="38" fontId="56" fillId="0" borderId="14" xfId="51" applyFont="1" applyFill="1" applyBorder="1" applyAlignment="1">
      <alignment vertical="center"/>
    </xf>
    <xf numFmtId="0" fontId="60" fillId="0" borderId="25" xfId="63" applyFont="1" applyFill="1" applyBorder="1" applyAlignment="1">
      <alignment vertical="center"/>
      <protection/>
    </xf>
    <xf numFmtId="0" fontId="56" fillId="0" borderId="18" xfId="63" applyFont="1" applyFill="1" applyBorder="1" applyAlignment="1">
      <alignment horizontal="right" vertical="center"/>
      <protection/>
    </xf>
    <xf numFmtId="38" fontId="56" fillId="0" borderId="30" xfId="51" applyFont="1" applyFill="1" applyBorder="1" applyAlignment="1">
      <alignment horizontal="left" vertical="center"/>
    </xf>
    <xf numFmtId="1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38" fontId="56" fillId="0" borderId="23" xfId="51" applyFont="1" applyFill="1" applyBorder="1" applyAlignment="1">
      <alignment horizontal="right" vertical="center" shrinkToFit="1"/>
    </xf>
    <xf numFmtId="38" fontId="56" fillId="0" borderId="21" xfId="51" applyFont="1" applyFill="1" applyBorder="1" applyAlignment="1" applyProtection="1">
      <alignment horizontal="center" vertical="center" shrinkToFit="1"/>
      <protection locked="0"/>
    </xf>
    <xf numFmtId="38" fontId="56" fillId="0" borderId="30" xfId="51" applyFont="1" applyFill="1" applyBorder="1" applyAlignment="1">
      <alignment horizontal="left" vertical="center" shrinkToFit="1"/>
    </xf>
    <xf numFmtId="38" fontId="56" fillId="0" borderId="22" xfId="51" applyFont="1" applyFill="1" applyBorder="1" applyAlignment="1">
      <alignment horizontal="right" vertical="center"/>
    </xf>
    <xf numFmtId="178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0" fontId="56" fillId="0" borderId="38" xfId="63" applyFont="1" applyFill="1" applyBorder="1" applyAlignment="1">
      <alignment vertical="center"/>
      <protection/>
    </xf>
    <xf numFmtId="0" fontId="56" fillId="0" borderId="36" xfId="63" applyFont="1" applyFill="1" applyBorder="1" applyAlignment="1">
      <alignment vertical="center"/>
      <protection/>
    </xf>
    <xf numFmtId="0" fontId="56" fillId="0" borderId="39" xfId="63" applyFont="1" applyFill="1" applyBorder="1" applyAlignment="1">
      <alignment horizontal="right" vertical="center"/>
      <protection/>
    </xf>
    <xf numFmtId="38" fontId="56" fillId="0" borderId="36" xfId="51" applyFont="1" applyFill="1" applyBorder="1" applyAlignment="1" applyProtection="1">
      <alignment horizontal="center" vertical="center"/>
      <protection locked="0"/>
    </xf>
    <xf numFmtId="178" fontId="56" fillId="0" borderId="36" xfId="63" applyNumberFormat="1" applyFont="1" applyFill="1" applyBorder="1" applyAlignment="1" applyProtection="1">
      <alignment horizontal="right" vertical="center" shrinkToFit="1"/>
      <protection locked="0"/>
    </xf>
    <xf numFmtId="38" fontId="56" fillId="0" borderId="37" xfId="51" applyFont="1" applyFill="1" applyBorder="1" applyAlignment="1">
      <alignment horizontal="right" vertical="center" shrinkToFit="1"/>
    </xf>
    <xf numFmtId="38" fontId="56" fillId="0" borderId="38" xfId="51" applyFont="1" applyFill="1" applyBorder="1" applyAlignment="1" applyProtection="1">
      <alignment horizontal="center" vertical="center" shrinkToFit="1"/>
      <protection locked="0"/>
    </xf>
    <xf numFmtId="38" fontId="56" fillId="0" borderId="36" xfId="51" applyFont="1" applyFill="1" applyBorder="1" applyAlignment="1">
      <alignment horizontal="left" vertical="center" shrinkToFit="1"/>
    </xf>
    <xf numFmtId="180" fontId="56" fillId="0" borderId="23" xfId="51" applyNumberFormat="1" applyFont="1" applyFill="1" applyBorder="1" applyAlignment="1" applyProtection="1">
      <alignment vertical="center"/>
      <protection locked="0"/>
    </xf>
    <xf numFmtId="180" fontId="56" fillId="0" borderId="20" xfId="51" applyNumberFormat="1" applyFont="1" applyFill="1" applyBorder="1" applyAlignment="1" applyProtection="1">
      <alignment vertical="center"/>
      <protection locked="0"/>
    </xf>
    <xf numFmtId="180" fontId="56" fillId="0" borderId="24" xfId="51" applyNumberFormat="1" applyFont="1" applyFill="1" applyBorder="1" applyAlignment="1" applyProtection="1">
      <alignment vertical="center"/>
      <protection locked="0"/>
    </xf>
    <xf numFmtId="0" fontId="56" fillId="0" borderId="37" xfId="63" applyFont="1" applyFill="1" applyBorder="1" applyAlignment="1">
      <alignment vertical="center"/>
      <protection/>
    </xf>
    <xf numFmtId="0" fontId="56" fillId="0" borderId="40" xfId="63" applyFont="1" applyFill="1" applyBorder="1" applyAlignment="1">
      <alignment vertical="center"/>
      <protection/>
    </xf>
    <xf numFmtId="0" fontId="56" fillId="0" borderId="39" xfId="63" applyFont="1" applyFill="1" applyBorder="1" applyAlignment="1">
      <alignment horizontal="center" vertical="center"/>
      <protection/>
    </xf>
    <xf numFmtId="180" fontId="56" fillId="0" borderId="37" xfId="51" applyNumberFormat="1" applyFont="1" applyFill="1" applyBorder="1" applyAlignment="1" applyProtection="1">
      <alignment vertical="center"/>
      <protection locked="0"/>
    </xf>
    <xf numFmtId="180" fontId="56" fillId="0" borderId="40" xfId="51" applyNumberFormat="1" applyFont="1" applyFill="1" applyBorder="1" applyAlignment="1" applyProtection="1">
      <alignment vertical="center"/>
      <protection locked="0"/>
    </xf>
    <xf numFmtId="180" fontId="56" fillId="0" borderId="41" xfId="51" applyNumberFormat="1" applyFont="1" applyFill="1" applyBorder="1" applyAlignment="1" applyProtection="1">
      <alignment vertical="center"/>
      <protection locked="0"/>
    </xf>
    <xf numFmtId="0" fontId="56" fillId="0" borderId="18" xfId="63" applyFont="1" applyFill="1" applyBorder="1" applyAlignment="1">
      <alignment horizontal="center" vertical="center"/>
      <protection/>
    </xf>
    <xf numFmtId="0" fontId="56" fillId="0" borderId="42" xfId="63" applyFont="1" applyFill="1" applyBorder="1" applyAlignment="1">
      <alignment horizontal="center" vertical="center"/>
      <protection/>
    </xf>
    <xf numFmtId="0" fontId="56" fillId="0" borderId="21" xfId="63" applyFont="1" applyFill="1" applyBorder="1" applyAlignment="1">
      <alignment horizontal="center" vertical="center"/>
      <protection/>
    </xf>
    <xf numFmtId="0" fontId="56" fillId="0" borderId="31" xfId="63" applyFont="1" applyFill="1" applyBorder="1" applyAlignment="1">
      <alignment horizontal="right" vertical="center"/>
      <protection/>
    </xf>
    <xf numFmtId="0" fontId="56" fillId="0" borderId="42" xfId="63" applyFont="1" applyFill="1" applyBorder="1" applyAlignment="1">
      <alignment vertical="center"/>
      <protection/>
    </xf>
    <xf numFmtId="0" fontId="56" fillId="0" borderId="43" xfId="63" applyFont="1" applyFill="1" applyBorder="1" applyAlignment="1">
      <alignment vertical="center"/>
      <protection/>
    </xf>
    <xf numFmtId="180" fontId="56" fillId="0" borderId="34" xfId="51" applyNumberFormat="1" applyFont="1" applyFill="1" applyBorder="1" applyAlignment="1" applyProtection="1">
      <alignment vertical="center"/>
      <protection locked="0"/>
    </xf>
    <xf numFmtId="180" fontId="56" fillId="0" borderId="44" xfId="51" applyNumberFormat="1" applyFont="1" applyFill="1" applyBorder="1" applyAlignment="1" applyProtection="1">
      <alignment vertical="center"/>
      <protection locked="0"/>
    </xf>
    <xf numFmtId="180" fontId="56" fillId="0" borderId="45" xfId="51" applyNumberFormat="1" applyFont="1" applyFill="1" applyBorder="1" applyAlignment="1" applyProtection="1">
      <alignment vertical="center"/>
      <protection locked="0"/>
    </xf>
    <xf numFmtId="0" fontId="56" fillId="0" borderId="46" xfId="63" applyFont="1" applyFill="1" applyBorder="1" applyAlignment="1">
      <alignment vertical="center"/>
      <protection/>
    </xf>
    <xf numFmtId="0" fontId="56" fillId="0" borderId="13" xfId="63" applyFont="1" applyFill="1" applyBorder="1" applyAlignment="1">
      <alignment vertical="center"/>
      <protection/>
    </xf>
    <xf numFmtId="0" fontId="56" fillId="0" borderId="47" xfId="63" applyFont="1" applyFill="1" applyBorder="1" applyAlignment="1">
      <alignment vertical="center"/>
      <protection/>
    </xf>
    <xf numFmtId="0" fontId="56" fillId="0" borderId="12" xfId="63" applyFont="1" applyFill="1" applyBorder="1" applyAlignment="1">
      <alignment horizontal="center" vertical="center"/>
      <protection/>
    </xf>
    <xf numFmtId="180" fontId="56" fillId="0" borderId="48" xfId="51" applyNumberFormat="1" applyFont="1" applyFill="1" applyBorder="1" applyAlignment="1" applyProtection="1">
      <alignment vertical="center"/>
      <protection locked="0"/>
    </xf>
    <xf numFmtId="180" fontId="56" fillId="0" borderId="49" xfId="51" applyNumberFormat="1" applyFont="1" applyFill="1" applyBorder="1" applyAlignment="1" applyProtection="1">
      <alignment vertical="center"/>
      <protection locked="0"/>
    </xf>
    <xf numFmtId="0" fontId="56" fillId="0" borderId="0" xfId="63" applyFont="1" applyFill="1" applyBorder="1" applyAlignment="1">
      <alignment horizontal="right"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16" xfId="63" applyFont="1" applyFill="1" applyBorder="1" applyAlignment="1">
      <alignment vertical="center"/>
      <protection/>
    </xf>
    <xf numFmtId="0" fontId="56" fillId="0" borderId="17" xfId="63" applyFont="1" applyFill="1" applyBorder="1" applyAlignment="1">
      <alignment vertical="center"/>
      <protection/>
    </xf>
    <xf numFmtId="0" fontId="56" fillId="0" borderId="28" xfId="63" applyFont="1" applyFill="1" applyBorder="1" applyAlignment="1">
      <alignment horizontal="right" vertical="center"/>
      <protection/>
    </xf>
    <xf numFmtId="0" fontId="56" fillId="0" borderId="51" xfId="63" applyFont="1" applyFill="1" applyBorder="1" applyAlignment="1">
      <alignment horizontal="centerContinuous" vertical="center"/>
      <protection/>
    </xf>
    <xf numFmtId="0" fontId="56" fillId="0" borderId="37" xfId="63" applyFont="1" applyFill="1" applyBorder="1" applyAlignment="1">
      <alignment horizontal="centerContinuous" vertical="center"/>
      <protection/>
    </xf>
    <xf numFmtId="38" fontId="56" fillId="0" borderId="37" xfId="51" applyFont="1" applyFill="1" applyBorder="1" applyAlignment="1" applyProtection="1">
      <alignment vertical="center"/>
      <protection locked="0"/>
    </xf>
    <xf numFmtId="38" fontId="56" fillId="0" borderId="40" xfId="51" applyFont="1" applyFill="1" applyBorder="1" applyAlignment="1" applyProtection="1">
      <alignment vertical="center"/>
      <protection locked="0"/>
    </xf>
    <xf numFmtId="38" fontId="56" fillId="0" borderId="41" xfId="51" applyFont="1" applyFill="1" applyBorder="1" applyAlignment="1" applyProtection="1">
      <alignment vertical="center"/>
      <protection locked="0"/>
    </xf>
    <xf numFmtId="0" fontId="56" fillId="0" borderId="43" xfId="63" applyFont="1" applyFill="1" applyBorder="1" applyAlignment="1">
      <alignment horizontal="right" vertical="center"/>
      <protection/>
    </xf>
    <xf numFmtId="38" fontId="56" fillId="0" borderId="52" xfId="51" applyFont="1" applyFill="1" applyBorder="1" applyAlignment="1" applyProtection="1">
      <alignment vertical="center"/>
      <protection locked="0"/>
    </xf>
    <xf numFmtId="38" fontId="56" fillId="0" borderId="13" xfId="51" applyFont="1" applyFill="1" applyBorder="1" applyAlignment="1" applyProtection="1">
      <alignment vertical="center"/>
      <protection locked="0"/>
    </xf>
    <xf numFmtId="38" fontId="56" fillId="0" borderId="53" xfId="51" applyFont="1" applyFill="1" applyBorder="1" applyAlignment="1" applyProtection="1">
      <alignment vertical="center"/>
      <protection locked="0"/>
    </xf>
    <xf numFmtId="0" fontId="56" fillId="0" borderId="15" xfId="63" applyFont="1" applyFill="1" applyBorder="1" applyAlignment="1">
      <alignment vertical="center"/>
      <protection/>
    </xf>
    <xf numFmtId="0" fontId="56" fillId="0" borderId="43" xfId="63" applyFont="1" applyFill="1" applyBorder="1" applyAlignment="1">
      <alignment horizontal="center" vertical="center" wrapText="1"/>
      <protection/>
    </xf>
    <xf numFmtId="0" fontId="56" fillId="0" borderId="42" xfId="63" applyFont="1" applyFill="1" applyBorder="1" applyAlignment="1">
      <alignment horizontal="center" vertical="center" wrapText="1"/>
      <protection/>
    </xf>
    <xf numFmtId="0" fontId="60" fillId="0" borderId="21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56" fillId="0" borderId="54" xfId="63" applyFont="1" applyFill="1" applyBorder="1" applyAlignment="1">
      <alignment horizontal="center" vertical="center" wrapText="1"/>
      <protection/>
    </xf>
    <xf numFmtId="0" fontId="56" fillId="0" borderId="20" xfId="63" applyFont="1" applyFill="1" applyBorder="1" applyAlignment="1">
      <alignment horizontal="center" vertical="center"/>
      <protection/>
    </xf>
    <xf numFmtId="0" fontId="56" fillId="0" borderId="22" xfId="63" applyFont="1" applyFill="1" applyBorder="1" applyAlignment="1">
      <alignment horizontal="center" vertical="center" shrinkToFi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54" xfId="63" applyFont="1" applyFill="1" applyBorder="1" applyAlignment="1">
      <alignment vertical="center"/>
      <protection/>
    </xf>
    <xf numFmtId="38" fontId="56" fillId="0" borderId="42" xfId="51" applyFont="1" applyFill="1" applyBorder="1" applyAlignment="1" applyProtection="1">
      <alignment vertical="center"/>
      <protection locked="0"/>
    </xf>
    <xf numFmtId="38" fontId="56" fillId="0" borderId="55" xfId="51" applyFont="1" applyFill="1" applyBorder="1" applyAlignment="1" applyProtection="1">
      <alignment vertical="center"/>
      <protection locked="0"/>
    </xf>
    <xf numFmtId="38" fontId="56" fillId="0" borderId="56" xfId="51" applyFont="1" applyFill="1" applyBorder="1" applyAlignment="1" applyProtection="1">
      <alignment vertical="center"/>
      <protection locked="0"/>
    </xf>
    <xf numFmtId="0" fontId="56" fillId="0" borderId="0" xfId="63" applyFont="1" applyFill="1" applyBorder="1" applyAlignment="1">
      <alignment horizontal="center" vertical="center"/>
      <protection/>
    </xf>
    <xf numFmtId="0" fontId="56" fillId="0" borderId="54" xfId="63" applyFont="1" applyFill="1" applyBorder="1" applyAlignment="1">
      <alignment horizontal="right" vertical="center" wrapText="1"/>
      <protection/>
    </xf>
    <xf numFmtId="38" fontId="56" fillId="0" borderId="31" xfId="51" applyFont="1" applyFill="1" applyBorder="1" applyAlignment="1" applyProtection="1">
      <alignment vertical="center"/>
      <protection locked="0"/>
    </xf>
    <xf numFmtId="38" fontId="56" fillId="0" borderId="57" xfId="51" applyFont="1" applyFill="1" applyBorder="1" applyAlignment="1" applyProtection="1">
      <alignment vertical="center"/>
      <protection locked="0"/>
    </xf>
    <xf numFmtId="38" fontId="56" fillId="0" borderId="58" xfId="51" applyFont="1" applyFill="1" applyBorder="1" applyAlignment="1" applyProtection="1">
      <alignment vertical="center"/>
      <protection locked="0"/>
    </xf>
    <xf numFmtId="0" fontId="60" fillId="0" borderId="43" xfId="63" applyFont="1" applyFill="1" applyBorder="1" applyAlignment="1">
      <alignment vertical="center"/>
      <protection/>
    </xf>
    <xf numFmtId="0" fontId="56" fillId="0" borderId="59" xfId="63" applyFont="1" applyFill="1" applyBorder="1" applyAlignment="1">
      <alignment vertical="center"/>
      <protection/>
    </xf>
    <xf numFmtId="0" fontId="56" fillId="0" borderId="55" xfId="63" applyFont="1" applyFill="1" applyBorder="1" applyAlignment="1">
      <alignment vertical="center"/>
      <protection/>
    </xf>
    <xf numFmtId="0" fontId="56" fillId="0" borderId="60" xfId="63" applyFont="1" applyFill="1" applyBorder="1" applyAlignment="1">
      <alignment vertical="center"/>
      <protection/>
    </xf>
    <xf numFmtId="0" fontId="56" fillId="0" borderId="61" xfId="63" applyFont="1" applyFill="1" applyBorder="1" applyAlignment="1">
      <alignment horizontal="center" vertical="center"/>
      <protection/>
    </xf>
    <xf numFmtId="0" fontId="56" fillId="0" borderId="48" xfId="63" applyFont="1" applyFill="1" applyBorder="1" applyAlignment="1">
      <alignment vertical="center"/>
      <protection/>
    </xf>
    <xf numFmtId="0" fontId="56" fillId="0" borderId="61" xfId="63" applyFont="1" applyFill="1" applyBorder="1" applyAlignment="1">
      <alignment horizontal="right" vertical="center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44" xfId="63" applyFont="1" applyFill="1" applyBorder="1" applyAlignment="1">
      <alignment vertical="center"/>
      <protection/>
    </xf>
    <xf numFmtId="0" fontId="56" fillId="0" borderId="35" xfId="63" applyFont="1" applyFill="1" applyBorder="1" applyAlignment="1">
      <alignment horizontal="center" vertical="center"/>
      <protection/>
    </xf>
    <xf numFmtId="38" fontId="56" fillId="0" borderId="48" xfId="51" applyFont="1" applyFill="1" applyBorder="1" applyAlignment="1" applyProtection="1">
      <alignment vertical="center"/>
      <protection locked="0"/>
    </xf>
    <xf numFmtId="38" fontId="56" fillId="0" borderId="49" xfId="51" applyFont="1" applyFill="1" applyBorder="1" applyAlignment="1" applyProtection="1">
      <alignment vertical="center"/>
      <protection locked="0"/>
    </xf>
    <xf numFmtId="38" fontId="56" fillId="0" borderId="45" xfId="51" applyFont="1" applyFill="1" applyBorder="1" applyAlignment="1" applyProtection="1">
      <alignment vertical="center"/>
      <protection locked="0"/>
    </xf>
    <xf numFmtId="0" fontId="56" fillId="0" borderId="22" xfId="63" applyFont="1" applyFill="1" applyBorder="1" applyAlignment="1">
      <alignment vertical="center"/>
      <protection/>
    </xf>
    <xf numFmtId="0" fontId="56" fillId="0" borderId="36" xfId="63" applyFont="1" applyFill="1" applyBorder="1" applyAlignment="1">
      <alignment vertical="center" shrinkToFit="1"/>
      <protection/>
    </xf>
    <xf numFmtId="0" fontId="56" fillId="0" borderId="39" xfId="63" applyFont="1" applyFill="1" applyBorder="1" applyAlignment="1">
      <alignment horizontal="center" vertical="center" shrinkToFit="1"/>
      <protection/>
    </xf>
    <xf numFmtId="0" fontId="56" fillId="0" borderId="64" xfId="63" applyFont="1" applyFill="1" applyBorder="1" applyAlignment="1">
      <alignment vertical="center"/>
      <protection/>
    </xf>
    <xf numFmtId="0" fontId="56" fillId="0" borderId="36" xfId="63" applyFont="1" applyFill="1" applyBorder="1">
      <alignment/>
      <protection/>
    </xf>
    <xf numFmtId="0" fontId="56" fillId="0" borderId="39" xfId="63" applyFont="1" applyFill="1" applyBorder="1" applyAlignment="1">
      <alignment vertical="center"/>
      <protection/>
    </xf>
    <xf numFmtId="2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182" fontId="56" fillId="0" borderId="23" xfId="51" applyNumberFormat="1" applyFont="1" applyFill="1" applyBorder="1" applyAlignment="1" applyProtection="1">
      <alignment vertical="center"/>
      <protection locked="0"/>
    </xf>
    <xf numFmtId="182" fontId="56" fillId="0" borderId="20" xfId="51" applyNumberFormat="1" applyFont="1" applyFill="1" applyBorder="1" applyAlignment="1" applyProtection="1">
      <alignment vertical="center"/>
      <protection locked="0"/>
    </xf>
    <xf numFmtId="182" fontId="56" fillId="0" borderId="24" xfId="51" applyNumberFormat="1" applyFont="1" applyFill="1" applyBorder="1" applyAlignment="1" applyProtection="1">
      <alignment vertical="center"/>
      <protection locked="0"/>
    </xf>
    <xf numFmtId="182" fontId="56" fillId="0" borderId="37" xfId="51" applyNumberFormat="1" applyFont="1" applyFill="1" applyBorder="1" applyAlignment="1" applyProtection="1">
      <alignment vertical="center"/>
      <protection locked="0"/>
    </xf>
    <xf numFmtId="182" fontId="56" fillId="0" borderId="40" xfId="51" applyNumberFormat="1" applyFont="1" applyFill="1" applyBorder="1" applyAlignment="1" applyProtection="1">
      <alignment vertical="center"/>
      <protection locked="0"/>
    </xf>
    <xf numFmtId="182" fontId="56" fillId="0" borderId="41" xfId="51" applyNumberFormat="1" applyFont="1" applyFill="1" applyBorder="1" applyAlignment="1" applyProtection="1">
      <alignment vertical="center"/>
      <protection locked="0"/>
    </xf>
    <xf numFmtId="178" fontId="56" fillId="0" borderId="11" xfId="43" applyNumberFormat="1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 applyProtection="1">
      <alignment horizontal="right" vertical="center" shrinkToFit="1"/>
      <protection locked="0"/>
    </xf>
    <xf numFmtId="178" fontId="14" fillId="0" borderId="11" xfId="43" applyNumberFormat="1" applyFont="1" applyFill="1" applyBorder="1" applyAlignment="1" applyProtection="1">
      <alignment horizontal="center" vertical="center"/>
      <protection locked="0"/>
    </xf>
    <xf numFmtId="38" fontId="14" fillId="0" borderId="11" xfId="51" applyFont="1" applyFill="1" applyBorder="1" applyAlignment="1" applyProtection="1">
      <alignment horizontal="center" vertical="center"/>
      <protection/>
    </xf>
    <xf numFmtId="38" fontId="14" fillId="0" borderId="11" xfId="51" applyFont="1" applyFill="1" applyBorder="1" applyAlignment="1" applyProtection="1">
      <alignment horizontal="center" vertical="center"/>
      <protection locked="0"/>
    </xf>
    <xf numFmtId="38" fontId="14" fillId="0" borderId="12" xfId="51" applyFont="1" applyFill="1" applyBorder="1" applyAlignment="1" applyProtection="1">
      <alignment horizontal="left" vertical="center" shrinkToFit="1"/>
      <protection/>
    </xf>
    <xf numFmtId="183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horizontal="right"/>
      <protection/>
    </xf>
    <xf numFmtId="0" fontId="5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/>
      <protection/>
    </xf>
    <xf numFmtId="0" fontId="4" fillId="0" borderId="0" xfId="63" applyFont="1" applyFill="1" applyAlignment="1">
      <alignment horizontal="center"/>
      <protection/>
    </xf>
    <xf numFmtId="38" fontId="4" fillId="0" borderId="0" xfId="51" applyFont="1" applyFill="1" applyAlignment="1">
      <alignment vertical="center"/>
    </xf>
    <xf numFmtId="38" fontId="4" fillId="0" borderId="10" xfId="51" applyFont="1" applyFill="1" applyBorder="1" applyAlignment="1">
      <alignment vertical="center"/>
    </xf>
    <xf numFmtId="38" fontId="4" fillId="0" borderId="11" xfId="51" applyFont="1" applyFill="1" applyBorder="1" applyAlignment="1">
      <alignment vertical="center"/>
    </xf>
    <xf numFmtId="38" fontId="4" fillId="0" borderId="12" xfId="51" applyFont="1" applyFill="1" applyBorder="1" applyAlignment="1">
      <alignment horizontal="right" vertical="center" shrinkToFit="1"/>
    </xf>
    <xf numFmtId="38" fontId="4" fillId="0" borderId="0" xfId="51" applyFont="1" applyFill="1" applyBorder="1" applyAlignment="1">
      <alignment horizontal="center" vertical="center" shrinkToFit="1"/>
    </xf>
    <xf numFmtId="38" fontId="4" fillId="0" borderId="10" xfId="51" applyFont="1" applyFill="1" applyBorder="1" applyAlignment="1">
      <alignment/>
    </xf>
    <xf numFmtId="38" fontId="4" fillId="0" borderId="12" xfId="51" applyFont="1" applyFill="1" applyBorder="1" applyAlignment="1">
      <alignment horizontal="right" vertical="top"/>
    </xf>
    <xf numFmtId="38" fontId="4" fillId="0" borderId="11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178" fontId="4" fillId="0" borderId="11" xfId="43" applyNumberFormat="1" applyFont="1" applyFill="1" applyBorder="1" applyAlignment="1" applyProtection="1">
      <alignment horizontal="center" vertical="center"/>
      <protection locked="0"/>
    </xf>
    <xf numFmtId="38" fontId="4" fillId="0" borderId="11" xfId="51" applyFont="1" applyFill="1" applyBorder="1" applyAlignment="1" applyProtection="1">
      <alignment horizontal="center" vertical="center"/>
      <protection/>
    </xf>
    <xf numFmtId="38" fontId="4" fillId="0" borderId="11" xfId="51" applyFont="1" applyFill="1" applyBorder="1" applyAlignment="1" applyProtection="1">
      <alignment horizontal="center" vertical="center"/>
      <protection locked="0"/>
    </xf>
    <xf numFmtId="38" fontId="4" fillId="0" borderId="12" xfId="51" applyFont="1" applyFill="1" applyBorder="1" applyAlignment="1" applyProtection="1">
      <alignment horizontal="left" vertical="center" shrinkToFit="1"/>
      <protection/>
    </xf>
    <xf numFmtId="38" fontId="4" fillId="0" borderId="14" xfId="51" applyFont="1" applyFill="1" applyBorder="1" applyAlignment="1">
      <alignment horizontal="left" vertical="center" shrinkToFit="1"/>
    </xf>
    <xf numFmtId="38" fontId="4" fillId="0" borderId="15" xfId="51" applyFont="1" applyFill="1" applyBorder="1" applyAlignment="1">
      <alignment vertical="center"/>
    </xf>
    <xf numFmtId="38" fontId="4" fillId="0" borderId="16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18" xfId="51" applyFont="1" applyFill="1" applyBorder="1" applyAlignment="1">
      <alignment horizontal="center" vertical="center"/>
    </xf>
    <xf numFmtId="38" fontId="4" fillId="0" borderId="15" xfId="51" applyFont="1" applyFill="1" applyBorder="1" applyAlignment="1" applyProtection="1">
      <alignment vertical="center"/>
      <protection locked="0"/>
    </xf>
    <xf numFmtId="38" fontId="4" fillId="0" borderId="16" xfId="51" applyFont="1" applyFill="1" applyBorder="1" applyAlignment="1" applyProtection="1">
      <alignment vertical="center"/>
      <protection locked="0"/>
    </xf>
    <xf numFmtId="38" fontId="4" fillId="0" borderId="19" xfId="51" applyFont="1" applyFill="1" applyBorder="1" applyAlignment="1" applyProtection="1">
      <alignment vertical="center"/>
      <protection locked="0"/>
    </xf>
    <xf numFmtId="38" fontId="4" fillId="0" borderId="12" xfId="51" applyFont="1" applyFill="1" applyBorder="1" applyAlignment="1">
      <alignment vertical="center"/>
    </xf>
    <xf numFmtId="38" fontId="4" fillId="0" borderId="14" xfId="51" applyFont="1" applyFill="1" applyBorder="1" applyAlignment="1">
      <alignment horizontal="center" vertical="center"/>
    </xf>
    <xf numFmtId="38" fontId="4" fillId="0" borderId="20" xfId="51" applyFont="1" applyFill="1" applyBorder="1" applyAlignment="1">
      <alignment vertical="center"/>
    </xf>
    <xf numFmtId="38" fontId="4" fillId="0" borderId="21" xfId="51" applyFont="1" applyFill="1" applyBorder="1" applyAlignment="1">
      <alignment vertical="center"/>
    </xf>
    <xf numFmtId="38" fontId="4" fillId="0" borderId="22" xfId="51" applyFont="1" applyFill="1" applyBorder="1" applyAlignment="1">
      <alignment horizontal="center" vertical="center"/>
    </xf>
    <xf numFmtId="38" fontId="4" fillId="0" borderId="23" xfId="51" applyFont="1" applyFill="1" applyBorder="1" applyAlignment="1" applyProtection="1">
      <alignment vertical="center"/>
      <protection locked="0"/>
    </xf>
    <xf numFmtId="38" fontId="4" fillId="0" borderId="20" xfId="51" applyFont="1" applyFill="1" applyBorder="1" applyAlignment="1" applyProtection="1">
      <alignment vertical="center"/>
      <protection locked="0"/>
    </xf>
    <xf numFmtId="38" fontId="4" fillId="0" borderId="24" xfId="51" applyFont="1" applyFill="1" applyBorder="1" applyAlignment="1" applyProtection="1">
      <alignment vertical="center"/>
      <protection locked="0"/>
    </xf>
    <xf numFmtId="0" fontId="4" fillId="0" borderId="1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right" vertical="center" shrinkToFit="1"/>
      <protection/>
    </xf>
    <xf numFmtId="0" fontId="4" fillId="0" borderId="14" xfId="63" applyFont="1" applyFill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vertical="center"/>
      <protection/>
    </xf>
    <xf numFmtId="0" fontId="4" fillId="0" borderId="21" xfId="63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25" xfId="63" applyFont="1" applyFill="1" applyBorder="1" applyAlignment="1">
      <alignment vertical="center"/>
      <protection/>
    </xf>
    <xf numFmtId="0" fontId="4" fillId="0" borderId="26" xfId="63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horizontal="right" vertical="center"/>
      <protection/>
    </xf>
    <xf numFmtId="0" fontId="4" fillId="0" borderId="26" xfId="63" applyFont="1" applyFill="1" applyBorder="1" applyAlignment="1" applyProtection="1">
      <alignment horizontal="center" vertical="center"/>
      <protection locked="0"/>
    </xf>
    <xf numFmtId="0" fontId="4" fillId="0" borderId="26" xfId="63" applyFont="1" applyFill="1" applyBorder="1" applyAlignment="1">
      <alignment horizontal="center" vertical="center"/>
      <protection/>
    </xf>
    <xf numFmtId="38" fontId="4" fillId="0" borderId="26" xfId="51" applyFont="1" applyFill="1" applyBorder="1" applyAlignment="1" applyProtection="1">
      <alignment horizontal="center" vertical="center"/>
      <protection locked="0"/>
    </xf>
    <xf numFmtId="38" fontId="4" fillId="0" borderId="15" xfId="51" applyFont="1" applyFill="1" applyBorder="1" applyAlignment="1">
      <alignment horizontal="center" vertical="center"/>
    </xf>
    <xf numFmtId="38" fontId="4" fillId="0" borderId="17" xfId="51" applyFont="1" applyFill="1" applyBorder="1" applyAlignment="1" applyProtection="1">
      <alignment horizontal="center" vertical="center"/>
      <protection locked="0"/>
    </xf>
    <xf numFmtId="38" fontId="4" fillId="0" borderId="26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27" xfId="63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/>
      <protection/>
    </xf>
    <xf numFmtId="0" fontId="4" fillId="0" borderId="29" xfId="63" applyFont="1" applyFill="1" applyBorder="1" applyAlignment="1">
      <alignment horizontal="right" vertical="center"/>
      <protection/>
    </xf>
    <xf numFmtId="0" fontId="4" fillId="0" borderId="30" xfId="63" applyFont="1" applyFill="1" applyBorder="1" applyAlignment="1" applyProtection="1">
      <alignment horizontal="center" vertical="center"/>
      <protection locked="0"/>
    </xf>
    <xf numFmtId="0" fontId="4" fillId="0" borderId="30" xfId="63" applyFont="1" applyFill="1" applyBorder="1" applyAlignment="1">
      <alignment horizontal="center" vertical="center"/>
      <protection/>
    </xf>
    <xf numFmtId="38" fontId="4" fillId="0" borderId="30" xfId="51" applyFont="1" applyFill="1" applyBorder="1" applyAlignment="1" applyProtection="1">
      <alignment horizontal="center" vertical="center"/>
      <protection locked="0"/>
    </xf>
    <xf numFmtId="38" fontId="4" fillId="0" borderId="23" xfId="51" applyFont="1" applyFill="1" applyBorder="1" applyAlignment="1">
      <alignment horizontal="center" vertical="center"/>
    </xf>
    <xf numFmtId="38" fontId="4" fillId="0" borderId="21" xfId="51" applyFont="1" applyFill="1" applyBorder="1" applyAlignment="1" applyProtection="1">
      <alignment horizontal="center" vertical="center"/>
      <protection locked="0"/>
    </xf>
    <xf numFmtId="38" fontId="4" fillId="0" borderId="30" xfId="51" applyFont="1" applyFill="1" applyBorder="1" applyAlignment="1">
      <alignment horizontal="center" vertical="center"/>
    </xf>
    <xf numFmtId="38" fontId="4" fillId="0" borderId="31" xfId="51" applyFont="1" applyFill="1" applyBorder="1" applyAlignment="1">
      <alignment horizontal="center" vertical="center"/>
    </xf>
    <xf numFmtId="0" fontId="4" fillId="0" borderId="30" xfId="63" applyFont="1" applyFill="1" applyBorder="1" applyAlignment="1">
      <alignment vertical="center"/>
      <protection/>
    </xf>
    <xf numFmtId="0" fontId="4" fillId="0" borderId="20" xfId="63" applyFont="1" applyFill="1" applyBorder="1" applyAlignment="1">
      <alignment vertical="center" shrinkToFit="1"/>
      <protection/>
    </xf>
    <xf numFmtId="0" fontId="4" fillId="0" borderId="21" xfId="63" applyFont="1" applyFill="1" applyBorder="1" applyAlignment="1">
      <alignment vertical="center" shrinkToFit="1"/>
      <protection/>
    </xf>
    <xf numFmtId="0" fontId="4" fillId="0" borderId="32" xfId="63" applyFont="1" applyFill="1" applyBorder="1" applyAlignment="1" applyProtection="1">
      <alignment horizontal="center" vertical="center"/>
      <protection locked="0"/>
    </xf>
    <xf numFmtId="0" fontId="4" fillId="0" borderId="23" xfId="63" applyFont="1" applyFill="1" applyBorder="1" applyAlignment="1">
      <alignment vertical="center"/>
      <protection/>
    </xf>
    <xf numFmtId="0" fontId="4" fillId="0" borderId="32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horizontal="right" vertical="center"/>
      <protection/>
    </xf>
    <xf numFmtId="38" fontId="4" fillId="0" borderId="14" xfId="51" applyFont="1" applyFill="1" applyBorder="1" applyAlignment="1">
      <alignment horizontal="right" vertical="center"/>
    </xf>
    <xf numFmtId="0" fontId="4" fillId="0" borderId="33" xfId="63" applyFont="1" applyFill="1" applyBorder="1" applyAlignment="1">
      <alignment vertical="center"/>
      <protection/>
    </xf>
    <xf numFmtId="0" fontId="4" fillId="0" borderId="34" xfId="63" applyFont="1" applyFill="1" applyBorder="1" applyAlignment="1">
      <alignment vertical="center"/>
      <protection/>
    </xf>
    <xf numFmtId="0" fontId="4" fillId="0" borderId="35" xfId="63" applyFont="1" applyFill="1" applyBorder="1" applyAlignment="1">
      <alignment horizontal="right" vertical="center"/>
      <protection/>
    </xf>
    <xf numFmtId="38" fontId="4" fillId="0" borderId="36" xfId="51" applyFont="1" applyFill="1" applyBorder="1" applyAlignment="1" applyProtection="1">
      <alignment horizontal="left" vertical="center"/>
      <protection locked="0"/>
    </xf>
    <xf numFmtId="38" fontId="4" fillId="0" borderId="36" xfId="51" applyFont="1" applyFill="1" applyBorder="1" applyAlignment="1">
      <alignment horizontal="left" vertical="center"/>
    </xf>
    <xf numFmtId="0" fontId="4" fillId="0" borderId="36" xfId="63" applyFont="1" applyFill="1" applyBorder="1" applyAlignment="1" applyProtection="1">
      <alignment vertical="center"/>
      <protection locked="0"/>
    </xf>
    <xf numFmtId="38" fontId="4" fillId="0" borderId="37" xfId="51" applyFont="1" applyFill="1" applyBorder="1" applyAlignment="1">
      <alignment horizontal="right" vertical="center"/>
    </xf>
    <xf numFmtId="38" fontId="4" fillId="0" borderId="38" xfId="51" applyFont="1" applyFill="1" applyBorder="1" applyAlignment="1" applyProtection="1">
      <alignment horizontal="left" vertical="center"/>
      <protection locked="0"/>
    </xf>
    <xf numFmtId="38" fontId="4" fillId="0" borderId="39" xfId="51" applyFont="1" applyFill="1" applyBorder="1" applyAlignment="1">
      <alignment horizontal="right" vertical="center"/>
    </xf>
    <xf numFmtId="38" fontId="4" fillId="0" borderId="14" xfId="51" applyFont="1" applyFill="1" applyBorder="1" applyAlignment="1">
      <alignment vertical="center"/>
    </xf>
    <xf numFmtId="0" fontId="11" fillId="0" borderId="25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38" fontId="4" fillId="0" borderId="30" xfId="51" applyFont="1" applyFill="1" applyBorder="1" applyAlignment="1">
      <alignment horizontal="left" vertical="center"/>
    </xf>
    <xf numFmtId="0" fontId="4" fillId="0" borderId="30" xfId="63" applyFont="1" applyFill="1" applyBorder="1" applyAlignment="1" applyProtection="1">
      <alignment horizontal="right" vertical="center" shrinkToFit="1"/>
      <protection locked="0"/>
    </xf>
    <xf numFmtId="38" fontId="4" fillId="0" borderId="23" xfId="51" applyFont="1" applyFill="1" applyBorder="1" applyAlignment="1">
      <alignment horizontal="right" vertical="center" shrinkToFit="1"/>
    </xf>
    <xf numFmtId="38" fontId="4" fillId="0" borderId="21" xfId="51" applyFont="1" applyFill="1" applyBorder="1" applyAlignment="1" applyProtection="1">
      <alignment horizontal="center" vertical="center" shrinkToFit="1"/>
      <protection locked="0"/>
    </xf>
    <xf numFmtId="38" fontId="4" fillId="0" borderId="30" xfId="51" applyFont="1" applyFill="1" applyBorder="1" applyAlignment="1">
      <alignment horizontal="left" vertical="center" shrinkToFit="1"/>
    </xf>
    <xf numFmtId="38" fontId="4" fillId="0" borderId="22" xfId="51" applyFont="1" applyFill="1" applyBorder="1" applyAlignment="1">
      <alignment horizontal="right" vertical="center"/>
    </xf>
    <xf numFmtId="178" fontId="4" fillId="0" borderId="30" xfId="63" applyNumberFormat="1" applyFont="1" applyFill="1" applyBorder="1" applyAlignment="1" applyProtection="1">
      <alignment horizontal="right" vertical="center" shrinkToFit="1"/>
      <protection locked="0"/>
    </xf>
    <xf numFmtId="0" fontId="4" fillId="0" borderId="38" xfId="63" applyFont="1" applyFill="1" applyBorder="1" applyAlignment="1">
      <alignment vertical="center"/>
      <protection/>
    </xf>
    <xf numFmtId="0" fontId="4" fillId="0" borderId="36" xfId="63" applyFont="1" applyFill="1" applyBorder="1" applyAlignment="1">
      <alignment vertical="center"/>
      <protection/>
    </xf>
    <xf numFmtId="0" fontId="4" fillId="0" borderId="39" xfId="63" applyFont="1" applyFill="1" applyBorder="1" applyAlignment="1">
      <alignment horizontal="right" vertical="center"/>
      <protection/>
    </xf>
    <xf numFmtId="38" fontId="4" fillId="0" borderId="36" xfId="51" applyFont="1" applyFill="1" applyBorder="1" applyAlignment="1" applyProtection="1">
      <alignment horizontal="center" vertical="center"/>
      <protection locked="0"/>
    </xf>
    <xf numFmtId="178" fontId="4" fillId="0" borderId="36" xfId="63" applyNumberFormat="1" applyFont="1" applyFill="1" applyBorder="1" applyAlignment="1" applyProtection="1">
      <alignment horizontal="right" vertical="center" shrinkToFit="1"/>
      <protection locked="0"/>
    </xf>
    <xf numFmtId="38" fontId="4" fillId="0" borderId="37" xfId="51" applyFont="1" applyFill="1" applyBorder="1" applyAlignment="1">
      <alignment horizontal="right" vertical="center" shrinkToFit="1"/>
    </xf>
    <xf numFmtId="38" fontId="4" fillId="0" borderId="38" xfId="51" applyFont="1" applyFill="1" applyBorder="1" applyAlignment="1" applyProtection="1">
      <alignment horizontal="center" vertical="center" shrinkToFit="1"/>
      <protection locked="0"/>
    </xf>
    <xf numFmtId="38" fontId="4" fillId="0" borderId="36" xfId="51" applyFont="1" applyFill="1" applyBorder="1" applyAlignment="1">
      <alignment horizontal="left" vertical="center" shrinkToFit="1"/>
    </xf>
    <xf numFmtId="180" fontId="4" fillId="0" borderId="20" xfId="51" applyNumberFormat="1" applyFont="1" applyFill="1" applyBorder="1" applyAlignment="1" applyProtection="1">
      <alignment vertical="center"/>
      <protection locked="0"/>
    </xf>
    <xf numFmtId="180" fontId="4" fillId="0" borderId="24" xfId="51" applyNumberFormat="1" applyFont="1" applyFill="1" applyBorder="1" applyAlignment="1" applyProtection="1">
      <alignment vertical="center"/>
      <protection locked="0"/>
    </xf>
    <xf numFmtId="0" fontId="4" fillId="0" borderId="37" xfId="63" applyFont="1" applyFill="1" applyBorder="1" applyAlignment="1">
      <alignment vertical="center"/>
      <protection/>
    </xf>
    <xf numFmtId="0" fontId="4" fillId="0" borderId="40" xfId="63" applyFont="1" applyFill="1" applyBorder="1" applyAlignment="1">
      <alignment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180" fontId="4" fillId="0" borderId="37" xfId="51" applyNumberFormat="1" applyFont="1" applyFill="1" applyBorder="1" applyAlignment="1" applyProtection="1">
      <alignment vertical="center"/>
      <protection locked="0"/>
    </xf>
    <xf numFmtId="180" fontId="4" fillId="0" borderId="40" xfId="51" applyNumberFormat="1" applyFont="1" applyFill="1" applyBorder="1" applyAlignment="1" applyProtection="1">
      <alignment vertical="center"/>
      <protection locked="0"/>
    </xf>
    <xf numFmtId="180" fontId="4" fillId="0" borderId="41" xfId="51" applyNumberFormat="1" applyFont="1" applyFill="1" applyBorder="1" applyAlignment="1" applyProtection="1">
      <alignment vertical="center"/>
      <protection locked="0"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right" vertical="center"/>
      <protection/>
    </xf>
    <xf numFmtId="0" fontId="4" fillId="0" borderId="42" xfId="63" applyFont="1" applyFill="1" applyBorder="1" applyAlignment="1">
      <alignment vertical="center"/>
      <protection/>
    </xf>
    <xf numFmtId="0" fontId="4" fillId="0" borderId="43" xfId="63" applyFont="1" applyFill="1" applyBorder="1" applyAlignment="1">
      <alignment vertical="center"/>
      <protection/>
    </xf>
    <xf numFmtId="180" fontId="4" fillId="0" borderId="34" xfId="51" applyNumberFormat="1" applyFont="1" applyFill="1" applyBorder="1" applyAlignment="1" applyProtection="1">
      <alignment vertical="center"/>
      <protection locked="0"/>
    </xf>
    <xf numFmtId="180" fontId="4" fillId="0" borderId="44" xfId="51" applyNumberFormat="1" applyFont="1" applyFill="1" applyBorder="1" applyAlignment="1" applyProtection="1">
      <alignment vertical="center"/>
      <protection locked="0"/>
    </xf>
    <xf numFmtId="180" fontId="4" fillId="0" borderId="45" xfId="51" applyNumberFormat="1" applyFont="1" applyFill="1" applyBorder="1" applyAlignment="1" applyProtection="1">
      <alignment vertical="center"/>
      <protection locked="0"/>
    </xf>
    <xf numFmtId="0" fontId="4" fillId="0" borderId="46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47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180" fontId="4" fillId="0" borderId="48" xfId="51" applyNumberFormat="1" applyFont="1" applyFill="1" applyBorder="1" applyAlignment="1" applyProtection="1">
      <alignment vertical="center"/>
      <protection locked="0"/>
    </xf>
    <xf numFmtId="180" fontId="4" fillId="0" borderId="49" xfId="51" applyNumberFormat="1" applyFont="1" applyFill="1" applyBorder="1" applyAlignment="1" applyProtection="1">
      <alignment vertical="center"/>
      <protection locked="0"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50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horizontal="right" vertical="center"/>
      <protection/>
    </xf>
    <xf numFmtId="0" fontId="4" fillId="0" borderId="51" xfId="63" applyFont="1" applyFill="1" applyBorder="1" applyAlignment="1">
      <alignment horizontal="centerContinuous" vertical="center"/>
      <protection/>
    </xf>
    <xf numFmtId="0" fontId="4" fillId="0" borderId="37" xfId="63" applyFont="1" applyFill="1" applyBorder="1" applyAlignment="1">
      <alignment horizontal="centerContinuous" vertical="center"/>
      <protection/>
    </xf>
    <xf numFmtId="38" fontId="4" fillId="0" borderId="37" xfId="51" applyFont="1" applyFill="1" applyBorder="1" applyAlignment="1" applyProtection="1">
      <alignment vertical="center"/>
      <protection locked="0"/>
    </xf>
    <xf numFmtId="38" fontId="4" fillId="0" borderId="40" xfId="51" applyFont="1" applyFill="1" applyBorder="1" applyAlignment="1" applyProtection="1">
      <alignment vertical="center"/>
      <protection locked="0"/>
    </xf>
    <xf numFmtId="38" fontId="4" fillId="0" borderId="41" xfId="51" applyFont="1" applyFill="1" applyBorder="1" applyAlignment="1" applyProtection="1">
      <alignment vertical="center"/>
      <protection locked="0"/>
    </xf>
    <xf numFmtId="0" fontId="4" fillId="0" borderId="43" xfId="63" applyFont="1" applyFill="1" applyBorder="1" applyAlignment="1">
      <alignment horizontal="right" vertical="center"/>
      <protection/>
    </xf>
    <xf numFmtId="38" fontId="4" fillId="0" borderId="52" xfId="51" applyFont="1" applyFill="1" applyBorder="1" applyAlignment="1" applyProtection="1">
      <alignment vertical="center"/>
      <protection locked="0"/>
    </xf>
    <xf numFmtId="38" fontId="4" fillId="0" borderId="13" xfId="51" applyFont="1" applyFill="1" applyBorder="1" applyAlignment="1" applyProtection="1">
      <alignment vertical="center"/>
      <protection locked="0"/>
    </xf>
    <xf numFmtId="38" fontId="4" fillId="0" borderId="53" xfId="51" applyFont="1" applyFill="1" applyBorder="1" applyAlignment="1" applyProtection="1">
      <alignment vertical="center"/>
      <protection locked="0"/>
    </xf>
    <xf numFmtId="0" fontId="4" fillId="0" borderId="15" xfId="63" applyFont="1" applyFill="1" applyBorder="1" applyAlignment="1">
      <alignment vertical="center"/>
      <protection/>
    </xf>
    <xf numFmtId="0" fontId="4" fillId="0" borderId="43" xfId="63" applyFont="1" applyFill="1" applyBorder="1" applyAlignment="1">
      <alignment horizontal="center" vertical="center" wrapText="1"/>
      <protection/>
    </xf>
    <xf numFmtId="0" fontId="4" fillId="0" borderId="42" xfId="63" applyFont="1" applyFill="1" applyBorder="1" applyAlignment="1">
      <alignment horizontal="center" vertical="center" wrapText="1"/>
      <protection/>
    </xf>
    <xf numFmtId="0" fontId="11" fillId="0" borderId="21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54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54" xfId="63" applyFont="1" applyFill="1" applyBorder="1" applyAlignment="1">
      <alignment vertical="center"/>
      <protection/>
    </xf>
    <xf numFmtId="38" fontId="4" fillId="0" borderId="42" xfId="51" applyFont="1" applyFill="1" applyBorder="1" applyAlignment="1" applyProtection="1">
      <alignment vertical="center"/>
      <protection locked="0"/>
    </xf>
    <xf numFmtId="38" fontId="4" fillId="0" borderId="55" xfId="51" applyFont="1" applyFill="1" applyBorder="1" applyAlignment="1" applyProtection="1">
      <alignment vertical="center"/>
      <protection locked="0"/>
    </xf>
    <xf numFmtId="38" fontId="4" fillId="0" borderId="56" xfId="51" applyFont="1" applyFill="1" applyBorder="1" applyAlignment="1" applyProtection="1">
      <alignment vertical="center"/>
      <protection locked="0"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54" xfId="63" applyFont="1" applyFill="1" applyBorder="1" applyAlignment="1">
      <alignment horizontal="right" vertical="center" wrapText="1"/>
      <protection/>
    </xf>
    <xf numFmtId="38" fontId="4" fillId="0" borderId="31" xfId="51" applyFont="1" applyFill="1" applyBorder="1" applyAlignment="1" applyProtection="1">
      <alignment vertical="center"/>
      <protection locked="0"/>
    </xf>
    <xf numFmtId="38" fontId="4" fillId="0" borderId="57" xfId="51" applyFont="1" applyFill="1" applyBorder="1" applyAlignment="1" applyProtection="1">
      <alignment vertical="center"/>
      <protection locked="0"/>
    </xf>
    <xf numFmtId="38" fontId="4" fillId="0" borderId="58" xfId="51" applyFont="1" applyFill="1" applyBorder="1" applyAlignment="1" applyProtection="1">
      <alignment vertical="center"/>
      <protection locked="0"/>
    </xf>
    <xf numFmtId="0" fontId="11" fillId="0" borderId="43" xfId="63" applyFont="1" applyFill="1" applyBorder="1" applyAlignment="1">
      <alignment vertical="center"/>
      <protection/>
    </xf>
    <xf numFmtId="0" fontId="4" fillId="0" borderId="59" xfId="63" applyFont="1" applyFill="1" applyBorder="1" applyAlignment="1">
      <alignment vertical="center"/>
      <protection/>
    </xf>
    <xf numFmtId="0" fontId="4" fillId="0" borderId="55" xfId="63" applyFont="1" applyFill="1" applyBorder="1" applyAlignment="1">
      <alignment vertical="center"/>
      <protection/>
    </xf>
    <xf numFmtId="0" fontId="4" fillId="0" borderId="60" xfId="63" applyFont="1" applyFill="1" applyBorder="1" applyAlignment="1">
      <alignment vertical="center"/>
      <protection/>
    </xf>
    <xf numFmtId="0" fontId="4" fillId="0" borderId="61" xfId="63" applyFont="1" applyFill="1" applyBorder="1" applyAlignment="1">
      <alignment horizontal="center" vertical="center"/>
      <protection/>
    </xf>
    <xf numFmtId="0" fontId="4" fillId="0" borderId="48" xfId="63" applyFont="1" applyFill="1" applyBorder="1" applyAlignment="1">
      <alignment vertical="center"/>
      <protection/>
    </xf>
    <xf numFmtId="0" fontId="4" fillId="0" borderId="61" xfId="63" applyFont="1" applyFill="1" applyBorder="1" applyAlignment="1">
      <alignment horizontal="right" vertical="center"/>
      <protection/>
    </xf>
    <xf numFmtId="0" fontId="4" fillId="0" borderId="62" xfId="63" applyFont="1" applyFill="1" applyBorder="1" applyAlignment="1">
      <alignment vertical="center"/>
      <protection/>
    </xf>
    <xf numFmtId="0" fontId="4" fillId="0" borderId="63" xfId="63" applyFont="1" applyFill="1" applyBorder="1" applyAlignment="1">
      <alignment vertical="center"/>
      <protection/>
    </xf>
    <xf numFmtId="0" fontId="4" fillId="0" borderId="49" xfId="63" applyFont="1" applyFill="1" applyBorder="1" applyAlignment="1">
      <alignment vertical="center"/>
      <protection/>
    </xf>
    <xf numFmtId="0" fontId="4" fillId="0" borderId="44" xfId="63" applyFont="1" applyFill="1" applyBorder="1" applyAlignment="1">
      <alignment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38" fontId="4" fillId="0" borderId="48" xfId="51" applyFont="1" applyFill="1" applyBorder="1" applyAlignment="1" applyProtection="1">
      <alignment vertical="center"/>
      <protection locked="0"/>
    </xf>
    <xf numFmtId="38" fontId="4" fillId="0" borderId="49" xfId="51" applyFont="1" applyFill="1" applyBorder="1" applyAlignment="1" applyProtection="1">
      <alignment vertical="center"/>
      <protection locked="0"/>
    </xf>
    <xf numFmtId="38" fontId="4" fillId="0" borderId="45" xfId="51" applyFont="1" applyFill="1" applyBorder="1" applyAlignment="1" applyProtection="1">
      <alignment vertical="center"/>
      <protection locked="0"/>
    </xf>
    <xf numFmtId="0" fontId="4" fillId="0" borderId="22" xfId="63" applyFont="1" applyFill="1" applyBorder="1" applyAlignment="1">
      <alignment vertical="center"/>
      <protection/>
    </xf>
    <xf numFmtId="0" fontId="4" fillId="0" borderId="36" xfId="63" applyFont="1" applyFill="1" applyBorder="1" applyAlignment="1">
      <alignment vertical="center" shrinkToFit="1"/>
      <protection/>
    </xf>
    <xf numFmtId="0" fontId="4" fillId="0" borderId="39" xfId="63" applyFont="1" applyFill="1" applyBorder="1" applyAlignment="1">
      <alignment horizontal="center" vertical="center" shrinkToFit="1"/>
      <protection/>
    </xf>
    <xf numFmtId="0" fontId="4" fillId="0" borderId="64" xfId="63" applyFont="1" applyFill="1" applyBorder="1" applyAlignment="1">
      <alignment vertical="center"/>
      <protection/>
    </xf>
    <xf numFmtId="0" fontId="4" fillId="0" borderId="36" xfId="63" applyFont="1" applyFill="1" applyBorder="1">
      <alignment/>
      <protection/>
    </xf>
    <xf numFmtId="0" fontId="4" fillId="0" borderId="39" xfId="63" applyFont="1" applyFill="1" applyBorder="1" applyAlignment="1">
      <alignment vertical="center"/>
      <protection/>
    </xf>
    <xf numFmtId="180" fontId="56" fillId="0" borderId="15" xfId="51" applyNumberFormat="1" applyFont="1" applyFill="1" applyBorder="1" applyAlignment="1" applyProtection="1">
      <alignment vertical="center"/>
      <protection locked="0"/>
    </xf>
    <xf numFmtId="180" fontId="56" fillId="0" borderId="16" xfId="51" applyNumberFormat="1" applyFont="1" applyFill="1" applyBorder="1" applyAlignment="1" applyProtection="1">
      <alignment vertical="center"/>
      <protection locked="0"/>
    </xf>
    <xf numFmtId="180" fontId="56" fillId="0" borderId="19" xfId="51" applyNumberFormat="1" applyFont="1" applyFill="1" applyBorder="1" applyAlignment="1" applyProtection="1">
      <alignment vertical="center"/>
      <protection locked="0"/>
    </xf>
    <xf numFmtId="38" fontId="14" fillId="0" borderId="25" xfId="51" applyFont="1" applyFill="1" applyBorder="1" applyAlignment="1" applyProtection="1">
      <alignment horizontal="center" vertical="center"/>
      <protection locked="0"/>
    </xf>
    <xf numFmtId="38" fontId="14" fillId="0" borderId="26" xfId="51" applyFont="1" applyFill="1" applyBorder="1" applyAlignment="1">
      <alignment horizontal="center" vertical="center"/>
    </xf>
    <xf numFmtId="0" fontId="14" fillId="0" borderId="26" xfId="63" applyFont="1" applyFill="1" applyBorder="1" applyAlignment="1" applyProtection="1">
      <alignment horizontal="center" vertical="center"/>
      <protection locked="0"/>
    </xf>
    <xf numFmtId="38" fontId="14" fillId="0" borderId="15" xfId="51" applyFont="1" applyFill="1" applyBorder="1" applyAlignment="1">
      <alignment horizontal="center" vertical="center"/>
    </xf>
    <xf numFmtId="38" fontId="14" fillId="0" borderId="17" xfId="51" applyFont="1" applyFill="1" applyBorder="1" applyAlignment="1" applyProtection="1">
      <alignment horizontal="center" vertical="center"/>
      <protection locked="0"/>
    </xf>
    <xf numFmtId="38" fontId="14" fillId="0" borderId="32" xfId="51" applyFont="1" applyFill="1" applyBorder="1" applyAlignment="1" applyProtection="1">
      <alignment horizontal="center" vertical="center"/>
      <protection locked="0"/>
    </xf>
    <xf numFmtId="38" fontId="14" fillId="0" borderId="30" xfId="51" applyFont="1" applyFill="1" applyBorder="1" applyAlignment="1">
      <alignment horizontal="center" vertical="center"/>
    </xf>
    <xf numFmtId="0" fontId="14" fillId="0" borderId="30" xfId="63" applyFont="1" applyFill="1" applyBorder="1" applyAlignment="1" applyProtection="1">
      <alignment horizontal="center" vertical="center"/>
      <protection locked="0"/>
    </xf>
    <xf numFmtId="38" fontId="14" fillId="0" borderId="23" xfId="51" applyFont="1" applyFill="1" applyBorder="1" applyAlignment="1">
      <alignment horizontal="center" vertical="center"/>
    </xf>
    <xf numFmtId="38" fontId="14" fillId="0" borderId="21" xfId="51" applyFont="1" applyFill="1" applyBorder="1" applyAlignment="1" applyProtection="1">
      <alignment horizontal="center" vertical="center"/>
      <protection locked="0"/>
    </xf>
    <xf numFmtId="38" fontId="14" fillId="0" borderId="51" xfId="51" applyFont="1" applyFill="1" applyBorder="1" applyAlignment="1" applyProtection="1">
      <alignment horizontal="left" vertical="center"/>
      <protection locked="0"/>
    </xf>
    <xf numFmtId="38" fontId="14" fillId="0" borderId="36" xfId="51" applyFont="1" applyFill="1" applyBorder="1" applyAlignment="1">
      <alignment horizontal="left" vertical="center"/>
    </xf>
    <xf numFmtId="0" fontId="14" fillId="0" borderId="36" xfId="63" applyFont="1" applyFill="1" applyBorder="1" applyAlignment="1" applyProtection="1">
      <alignment vertical="center"/>
      <protection locked="0"/>
    </xf>
    <xf numFmtId="38" fontId="14" fillId="0" borderId="37" xfId="51" applyFont="1" applyFill="1" applyBorder="1" applyAlignment="1">
      <alignment horizontal="right" vertical="center"/>
    </xf>
    <xf numFmtId="38" fontId="14" fillId="0" borderId="38" xfId="51" applyFont="1" applyFill="1" applyBorder="1" applyAlignment="1" applyProtection="1">
      <alignment horizontal="left" vertical="center"/>
      <protection locked="0"/>
    </xf>
    <xf numFmtId="38" fontId="14" fillId="0" borderId="30" xfId="51" applyFont="1" applyFill="1" applyBorder="1" applyAlignment="1" applyProtection="1">
      <alignment horizontal="center" vertical="center"/>
      <protection locked="0"/>
    </xf>
    <xf numFmtId="38" fontId="14" fillId="0" borderId="30" xfId="51" applyFont="1" applyFill="1" applyBorder="1" applyAlignment="1">
      <alignment horizontal="left" vertical="center"/>
    </xf>
    <xf numFmtId="0" fontId="14" fillId="0" borderId="30" xfId="63" applyFont="1" applyFill="1" applyBorder="1" applyAlignment="1" applyProtection="1">
      <alignment horizontal="right" vertical="center"/>
      <protection locked="0"/>
    </xf>
    <xf numFmtId="38" fontId="14" fillId="0" borderId="30" xfId="51" applyFont="1" applyFill="1" applyBorder="1" applyAlignment="1">
      <alignment horizontal="right" vertical="center"/>
    </xf>
    <xf numFmtId="184" fontId="14" fillId="0" borderId="30" xfId="63" applyNumberFormat="1" applyFont="1" applyFill="1" applyBorder="1" applyAlignment="1" applyProtection="1">
      <alignment horizontal="right" vertical="center"/>
      <protection locked="0"/>
    </xf>
    <xf numFmtId="38" fontId="14" fillId="0" borderId="23" xfId="51" applyFont="1" applyFill="1" applyBorder="1" applyAlignment="1">
      <alignment horizontal="right" vertical="center"/>
    </xf>
    <xf numFmtId="38" fontId="56" fillId="0" borderId="30" xfId="51" applyFont="1" applyFill="1" applyBorder="1" applyAlignment="1" applyProtection="1">
      <alignment horizontal="center" vertical="center" shrinkToFit="1"/>
      <protection locked="0"/>
    </xf>
    <xf numFmtId="178" fontId="14" fillId="0" borderId="30" xfId="63" applyNumberFormat="1" applyFont="1" applyFill="1" applyBorder="1" applyAlignment="1" applyProtection="1">
      <alignment horizontal="right" vertical="center"/>
      <protection locked="0"/>
    </xf>
    <xf numFmtId="38" fontId="14" fillId="0" borderId="36" xfId="51" applyFont="1" applyFill="1" applyBorder="1" applyAlignment="1" applyProtection="1">
      <alignment horizontal="center" vertical="center"/>
      <protection locked="0"/>
    </xf>
    <xf numFmtId="178" fontId="14" fillId="0" borderId="36" xfId="63" applyNumberFormat="1" applyFont="1" applyFill="1" applyBorder="1" applyAlignment="1" applyProtection="1">
      <alignment horizontal="right" vertical="center"/>
      <protection locked="0"/>
    </xf>
    <xf numFmtId="38" fontId="14" fillId="0" borderId="36" xfId="51" applyFont="1" applyFill="1" applyBorder="1" applyAlignment="1">
      <alignment horizontal="right" vertical="center"/>
    </xf>
    <xf numFmtId="38" fontId="14" fillId="0" borderId="38" xfId="51" applyFont="1" applyFill="1" applyBorder="1" applyAlignment="1" applyProtection="1">
      <alignment horizontal="center" vertical="center"/>
      <protection locked="0"/>
    </xf>
    <xf numFmtId="38" fontId="56" fillId="0" borderId="36" xfId="51" applyFont="1" applyFill="1" applyBorder="1" applyAlignment="1" applyProtection="1">
      <alignment horizontal="center" vertical="center" shrinkToFit="1"/>
      <protection locked="0"/>
    </xf>
    <xf numFmtId="180" fontId="56" fillId="0" borderId="52" xfId="51" applyNumberFormat="1" applyFont="1" applyFill="1" applyBorder="1" applyAlignment="1" applyProtection="1">
      <alignment vertical="center"/>
      <protection locked="0"/>
    </xf>
    <xf numFmtId="180" fontId="56" fillId="0" borderId="13" xfId="51" applyNumberFormat="1" applyFont="1" applyFill="1" applyBorder="1" applyAlignment="1" applyProtection="1">
      <alignment vertical="center"/>
      <protection locked="0"/>
    </xf>
    <xf numFmtId="180" fontId="56" fillId="0" borderId="53" xfId="51" applyNumberFormat="1" applyFont="1" applyFill="1" applyBorder="1" applyAlignment="1" applyProtection="1">
      <alignment vertical="center"/>
      <protection locked="0"/>
    </xf>
    <xf numFmtId="180" fontId="56" fillId="0" borderId="42" xfId="51" applyNumberFormat="1" applyFont="1" applyFill="1" applyBorder="1" applyAlignment="1" applyProtection="1">
      <alignment vertical="center"/>
      <protection locked="0"/>
    </xf>
    <xf numFmtId="180" fontId="56" fillId="0" borderId="55" xfId="51" applyNumberFormat="1" applyFont="1" applyFill="1" applyBorder="1" applyAlignment="1" applyProtection="1">
      <alignment vertical="center"/>
      <protection locked="0"/>
    </xf>
    <xf numFmtId="180" fontId="56" fillId="0" borderId="56" xfId="51" applyNumberFormat="1" applyFont="1" applyFill="1" applyBorder="1" applyAlignment="1" applyProtection="1">
      <alignment vertical="center"/>
      <protection locked="0"/>
    </xf>
    <xf numFmtId="180" fontId="56" fillId="0" borderId="31" xfId="51" applyNumberFormat="1" applyFont="1" applyFill="1" applyBorder="1" applyAlignment="1" applyProtection="1">
      <alignment vertical="center"/>
      <protection locked="0"/>
    </xf>
    <xf numFmtId="180" fontId="56" fillId="0" borderId="57" xfId="51" applyNumberFormat="1" applyFont="1" applyFill="1" applyBorder="1" applyAlignment="1" applyProtection="1">
      <alignment vertical="center"/>
      <protection locked="0"/>
    </xf>
    <xf numFmtId="180" fontId="56" fillId="0" borderId="58" xfId="51" applyNumberFormat="1" applyFont="1" applyFill="1" applyBorder="1" applyAlignment="1" applyProtection="1">
      <alignment vertical="center"/>
      <protection locked="0"/>
    </xf>
    <xf numFmtId="180" fontId="56" fillId="0" borderId="0" xfId="63" applyNumberFormat="1" applyFont="1" applyFill="1" applyAlignment="1">
      <alignment vertical="center"/>
      <protection/>
    </xf>
    <xf numFmtId="185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38" fontId="14" fillId="0" borderId="16" xfId="51" applyFont="1" applyFill="1" applyBorder="1" applyAlignment="1" applyProtection="1">
      <alignment vertical="center"/>
      <protection locked="0"/>
    </xf>
    <xf numFmtId="38" fontId="14" fillId="0" borderId="17" xfId="51" applyFont="1" applyFill="1" applyBorder="1" applyAlignment="1" applyProtection="1">
      <alignment vertical="center"/>
      <protection locked="0"/>
    </xf>
    <xf numFmtId="38" fontId="14" fillId="0" borderId="20" xfId="51" applyFont="1" applyFill="1" applyBorder="1" applyAlignment="1" applyProtection="1">
      <alignment vertical="center"/>
      <protection locked="0"/>
    </xf>
    <xf numFmtId="38" fontId="14" fillId="0" borderId="21" xfId="51" applyFont="1" applyFill="1" applyBorder="1" applyAlignment="1" applyProtection="1">
      <alignment vertical="center"/>
      <protection locked="0"/>
    </xf>
    <xf numFmtId="186" fontId="14" fillId="0" borderId="30" xfId="63" applyNumberFormat="1" applyFont="1" applyFill="1" applyBorder="1" applyAlignment="1" applyProtection="1">
      <alignment horizontal="right" vertical="center"/>
      <protection locked="0"/>
    </xf>
    <xf numFmtId="177" fontId="56" fillId="0" borderId="30" xfId="63" applyNumberFormat="1" applyFont="1" applyFill="1" applyBorder="1" applyAlignment="1" applyProtection="1">
      <alignment horizontal="right" vertical="center" shrinkToFit="1"/>
      <protection locked="0"/>
    </xf>
    <xf numFmtId="180" fontId="14" fillId="0" borderId="20" xfId="51" applyNumberFormat="1" applyFont="1" applyFill="1" applyBorder="1" applyAlignment="1" applyProtection="1">
      <alignment vertical="center"/>
      <protection locked="0"/>
    </xf>
    <xf numFmtId="180" fontId="14" fillId="0" borderId="21" xfId="51" applyNumberFormat="1" applyFont="1" applyFill="1" applyBorder="1" applyAlignment="1" applyProtection="1">
      <alignment vertical="center"/>
      <protection locked="0"/>
    </xf>
    <xf numFmtId="180" fontId="14" fillId="0" borderId="40" xfId="51" applyNumberFormat="1" applyFont="1" applyFill="1" applyBorder="1" applyAlignment="1" applyProtection="1">
      <alignment vertical="center"/>
      <protection locked="0"/>
    </xf>
    <xf numFmtId="180" fontId="14" fillId="0" borderId="38" xfId="51" applyNumberFormat="1" applyFont="1" applyFill="1" applyBorder="1" applyAlignment="1" applyProtection="1">
      <alignment vertical="center"/>
      <protection locked="0"/>
    </xf>
    <xf numFmtId="180" fontId="14" fillId="0" borderId="44" xfId="51" applyNumberFormat="1" applyFont="1" applyFill="1" applyBorder="1" applyAlignment="1" applyProtection="1">
      <alignment vertical="center"/>
      <protection locked="0"/>
    </xf>
    <xf numFmtId="180" fontId="14" fillId="0" borderId="49" xfId="51" applyNumberFormat="1" applyFont="1" applyFill="1" applyBorder="1" applyAlignment="1" applyProtection="1">
      <alignment vertical="center"/>
      <protection locked="0"/>
    </xf>
    <xf numFmtId="38" fontId="14" fillId="0" borderId="40" xfId="51" applyFont="1" applyFill="1" applyBorder="1" applyAlignment="1" applyProtection="1">
      <alignment vertical="center"/>
      <protection locked="0"/>
    </xf>
    <xf numFmtId="38" fontId="14" fillId="0" borderId="38" xfId="51" applyFont="1" applyFill="1" applyBorder="1" applyAlignment="1" applyProtection="1">
      <alignment vertical="center"/>
      <protection locked="0"/>
    </xf>
    <xf numFmtId="38" fontId="14" fillId="0" borderId="13" xfId="51" applyFont="1" applyFill="1" applyBorder="1" applyAlignment="1" applyProtection="1">
      <alignment vertical="center"/>
      <protection locked="0"/>
    </xf>
    <xf numFmtId="38" fontId="14" fillId="0" borderId="47" xfId="51" applyFont="1" applyFill="1" applyBorder="1" applyAlignment="1" applyProtection="1">
      <alignment vertical="center"/>
      <protection locked="0"/>
    </xf>
    <xf numFmtId="38" fontId="14" fillId="0" borderId="55" xfId="51" applyFont="1" applyFill="1" applyBorder="1" applyAlignment="1" applyProtection="1">
      <alignment vertical="center"/>
      <protection locked="0"/>
    </xf>
    <xf numFmtId="38" fontId="14" fillId="0" borderId="60" xfId="51" applyFont="1" applyFill="1" applyBorder="1" applyAlignment="1" applyProtection="1">
      <alignment vertical="center"/>
      <protection locked="0"/>
    </xf>
    <xf numFmtId="38" fontId="14" fillId="0" borderId="57" xfId="51" applyFont="1" applyFill="1" applyBorder="1" applyAlignment="1" applyProtection="1">
      <alignment vertical="center"/>
      <protection locked="0"/>
    </xf>
    <xf numFmtId="38" fontId="14" fillId="0" borderId="27" xfId="51" applyFont="1" applyFill="1" applyBorder="1" applyAlignment="1" applyProtection="1">
      <alignment vertical="center"/>
      <protection locked="0"/>
    </xf>
    <xf numFmtId="38" fontId="14" fillId="0" borderId="49" xfId="51" applyFont="1" applyFill="1" applyBorder="1" applyAlignment="1" applyProtection="1">
      <alignment vertical="center"/>
      <protection locked="0"/>
    </xf>
    <xf numFmtId="38" fontId="14" fillId="0" borderId="44" xfId="51" applyFont="1" applyFill="1" applyBorder="1" applyAlignment="1" applyProtection="1">
      <alignment vertical="center"/>
      <protection locked="0"/>
    </xf>
    <xf numFmtId="38" fontId="14" fillId="0" borderId="50" xfId="51" applyFont="1" applyFill="1" applyBorder="1" applyAlignment="1" applyProtection="1">
      <alignment vertical="center"/>
      <protection locked="0"/>
    </xf>
    <xf numFmtId="38" fontId="14" fillId="0" borderId="15" xfId="51" applyFont="1" applyFill="1" applyBorder="1" applyAlignment="1" applyProtection="1">
      <alignment vertical="center"/>
      <protection locked="0"/>
    </xf>
    <xf numFmtId="38" fontId="56" fillId="0" borderId="18" xfId="51" applyFont="1" applyFill="1" applyBorder="1" applyAlignment="1" applyProtection="1">
      <alignment vertical="center"/>
      <protection locked="0"/>
    </xf>
    <xf numFmtId="38" fontId="14" fillId="0" borderId="65" xfId="51" applyFont="1" applyFill="1" applyBorder="1" applyAlignment="1" applyProtection="1">
      <alignment vertical="center"/>
      <protection locked="0"/>
    </xf>
    <xf numFmtId="38" fontId="14" fillId="0" borderId="23" xfId="51" applyFont="1" applyFill="1" applyBorder="1" applyAlignment="1" applyProtection="1">
      <alignment vertical="center"/>
      <protection locked="0"/>
    </xf>
    <xf numFmtId="38" fontId="56" fillId="0" borderId="22" xfId="51" applyFont="1" applyFill="1" applyBorder="1" applyAlignment="1" applyProtection="1">
      <alignment vertical="center"/>
      <protection locked="0"/>
    </xf>
    <xf numFmtId="38" fontId="14" fillId="0" borderId="15" xfId="51" applyFont="1" applyFill="1" applyBorder="1" applyAlignment="1">
      <alignment horizontal="right" vertical="center"/>
    </xf>
    <xf numFmtId="38" fontId="56" fillId="0" borderId="66" xfId="51" applyFont="1" applyFill="1" applyBorder="1" applyAlignment="1">
      <alignment horizontal="right" vertical="center"/>
    </xf>
    <xf numFmtId="180" fontId="14" fillId="0" borderId="65" xfId="51" applyNumberFormat="1" applyFont="1" applyFill="1" applyBorder="1" applyAlignment="1" applyProtection="1">
      <alignment vertical="center"/>
      <protection locked="0"/>
    </xf>
    <xf numFmtId="180" fontId="14" fillId="0" borderId="23" xfId="51" applyNumberFormat="1" applyFont="1" applyFill="1" applyBorder="1" applyAlignment="1" applyProtection="1">
      <alignment vertical="center"/>
      <protection locked="0"/>
    </xf>
    <xf numFmtId="180" fontId="14" fillId="0" borderId="67" xfId="51" applyNumberFormat="1" applyFont="1" applyFill="1" applyBorder="1" applyAlignment="1" applyProtection="1">
      <alignment vertical="center"/>
      <protection locked="0"/>
    </xf>
    <xf numFmtId="180" fontId="14" fillId="0" borderId="37" xfId="51" applyNumberFormat="1" applyFont="1" applyFill="1" applyBorder="1" applyAlignment="1" applyProtection="1">
      <alignment vertical="center"/>
      <protection locked="0"/>
    </xf>
    <xf numFmtId="180" fontId="14" fillId="0" borderId="68" xfId="51" applyNumberFormat="1" applyFont="1" applyFill="1" applyBorder="1" applyAlignment="1" applyProtection="1">
      <alignment vertical="center"/>
      <protection locked="0"/>
    </xf>
    <xf numFmtId="180" fontId="14" fillId="0" borderId="48" xfId="51" applyNumberFormat="1" applyFont="1" applyFill="1" applyBorder="1" applyAlignment="1" applyProtection="1">
      <alignment vertical="center"/>
      <protection locked="0"/>
    </xf>
    <xf numFmtId="180" fontId="56" fillId="0" borderId="35" xfId="51" applyNumberFormat="1" applyFont="1" applyFill="1" applyBorder="1" applyAlignment="1" applyProtection="1">
      <alignment vertical="center"/>
      <protection locked="0"/>
    </xf>
    <xf numFmtId="38" fontId="14" fillId="0" borderId="67" xfId="51" applyFont="1" applyFill="1" applyBorder="1" applyAlignment="1" applyProtection="1">
      <alignment vertical="center"/>
      <protection locked="0"/>
    </xf>
    <xf numFmtId="38" fontId="14" fillId="0" borderId="37" xfId="51" applyFont="1" applyFill="1" applyBorder="1" applyAlignment="1" applyProtection="1">
      <alignment vertical="center"/>
      <protection locked="0"/>
    </xf>
    <xf numFmtId="38" fontId="56" fillId="0" borderId="39" xfId="51" applyFont="1" applyFill="1" applyBorder="1" applyAlignment="1" applyProtection="1">
      <alignment vertical="center"/>
      <protection locked="0"/>
    </xf>
    <xf numFmtId="38" fontId="14" fillId="0" borderId="46" xfId="51" applyFont="1" applyFill="1" applyBorder="1" applyAlignment="1" applyProtection="1">
      <alignment vertical="center"/>
      <protection locked="0"/>
    </xf>
    <xf numFmtId="38" fontId="14" fillId="0" borderId="52" xfId="51" applyFont="1" applyFill="1" applyBorder="1" applyAlignment="1" applyProtection="1">
      <alignment vertical="center"/>
      <protection locked="0"/>
    </xf>
    <xf numFmtId="38" fontId="56" fillId="0" borderId="12" xfId="51" applyFont="1" applyFill="1" applyBorder="1" applyAlignment="1" applyProtection="1">
      <alignment vertical="center"/>
      <protection locked="0"/>
    </xf>
    <xf numFmtId="38" fontId="14" fillId="0" borderId="59" xfId="51" applyFont="1" applyFill="1" applyBorder="1" applyAlignment="1" applyProtection="1">
      <alignment vertical="center"/>
      <protection locked="0"/>
    </xf>
    <xf numFmtId="38" fontId="14" fillId="0" borderId="42" xfId="51" applyFont="1" applyFill="1" applyBorder="1" applyAlignment="1" applyProtection="1">
      <alignment vertical="center"/>
      <protection locked="0"/>
    </xf>
    <xf numFmtId="38" fontId="56" fillId="0" borderId="61" xfId="51" applyFont="1" applyFill="1" applyBorder="1" applyAlignment="1" applyProtection="1">
      <alignment vertical="center"/>
      <protection locked="0"/>
    </xf>
    <xf numFmtId="38" fontId="14" fillId="0" borderId="69" xfId="51" applyFont="1" applyFill="1" applyBorder="1" applyAlignment="1" applyProtection="1">
      <alignment vertical="center"/>
      <protection locked="0"/>
    </xf>
    <xf numFmtId="38" fontId="14" fillId="0" borderId="31" xfId="51" applyFont="1" applyFill="1" applyBorder="1" applyAlignment="1" applyProtection="1">
      <alignment vertical="center"/>
      <protection locked="0"/>
    </xf>
    <xf numFmtId="38" fontId="56" fillId="0" borderId="29" xfId="51" applyFont="1" applyFill="1" applyBorder="1" applyAlignment="1" applyProtection="1">
      <alignment vertical="center"/>
      <protection locked="0"/>
    </xf>
    <xf numFmtId="38" fontId="14" fillId="0" borderId="68" xfId="51" applyFont="1" applyFill="1" applyBorder="1" applyAlignment="1" applyProtection="1">
      <alignment vertical="center"/>
      <protection locked="0"/>
    </xf>
    <xf numFmtId="38" fontId="14" fillId="0" borderId="48" xfId="51" applyFont="1" applyFill="1" applyBorder="1" applyAlignment="1" applyProtection="1">
      <alignment vertical="center"/>
      <protection locked="0"/>
    </xf>
    <xf numFmtId="38" fontId="56" fillId="0" borderId="35" xfId="51" applyFont="1" applyFill="1" applyBorder="1" applyAlignment="1" applyProtection="1">
      <alignment vertical="center"/>
      <protection locked="0"/>
    </xf>
    <xf numFmtId="38" fontId="14" fillId="0" borderId="19" xfId="51" applyFont="1" applyFill="1" applyBorder="1" applyAlignment="1" applyProtection="1">
      <alignment vertical="center"/>
      <protection locked="0"/>
    </xf>
    <xf numFmtId="38" fontId="14" fillId="0" borderId="24" xfId="51" applyFont="1" applyFill="1" applyBorder="1" applyAlignment="1" applyProtection="1">
      <alignment vertical="center"/>
      <protection locked="0"/>
    </xf>
    <xf numFmtId="38" fontId="14" fillId="0" borderId="18" xfId="51" applyFont="1" applyFill="1" applyBorder="1" applyAlignment="1">
      <alignment horizontal="center" vertical="center"/>
    </xf>
    <xf numFmtId="38" fontId="14" fillId="0" borderId="22" xfId="51" applyFont="1" applyFill="1" applyBorder="1" applyAlignment="1">
      <alignment horizontal="center" vertical="center"/>
    </xf>
    <xf numFmtId="38" fontId="14" fillId="0" borderId="39" xfId="51" applyFont="1" applyFill="1" applyBorder="1" applyAlignment="1">
      <alignment horizontal="right" vertical="center"/>
    </xf>
    <xf numFmtId="38" fontId="14" fillId="0" borderId="22" xfId="51" applyFont="1" applyFill="1" applyBorder="1" applyAlignment="1">
      <alignment horizontal="right" vertical="center"/>
    </xf>
    <xf numFmtId="180" fontId="14" fillId="0" borderId="24" xfId="51" applyNumberFormat="1" applyFont="1" applyFill="1" applyBorder="1" applyAlignment="1" applyProtection="1">
      <alignment vertical="center"/>
      <protection locked="0"/>
    </xf>
    <xf numFmtId="180" fontId="14" fillId="0" borderId="41" xfId="51" applyNumberFormat="1" applyFont="1" applyFill="1" applyBorder="1" applyAlignment="1" applyProtection="1">
      <alignment vertical="center"/>
      <protection locked="0"/>
    </xf>
    <xf numFmtId="180" fontId="14" fillId="0" borderId="45" xfId="51" applyNumberFormat="1" applyFont="1" applyFill="1" applyBorder="1" applyAlignment="1" applyProtection="1">
      <alignment vertical="center"/>
      <protection locked="0"/>
    </xf>
    <xf numFmtId="38" fontId="14" fillId="0" borderId="41" xfId="51" applyFont="1" applyFill="1" applyBorder="1" applyAlignment="1" applyProtection="1">
      <alignment vertical="center"/>
      <protection locked="0"/>
    </xf>
    <xf numFmtId="38" fontId="14" fillId="0" borderId="53" xfId="51" applyFont="1" applyFill="1" applyBorder="1" applyAlignment="1" applyProtection="1">
      <alignment vertical="center"/>
      <protection locked="0"/>
    </xf>
    <xf numFmtId="38" fontId="14" fillId="0" borderId="56" xfId="51" applyFont="1" applyFill="1" applyBorder="1" applyAlignment="1" applyProtection="1">
      <alignment vertical="center"/>
      <protection locked="0"/>
    </xf>
    <xf numFmtId="38" fontId="14" fillId="0" borderId="58" xfId="51" applyFont="1" applyFill="1" applyBorder="1" applyAlignment="1" applyProtection="1">
      <alignment vertical="center"/>
      <protection locked="0"/>
    </xf>
    <xf numFmtId="38" fontId="14" fillId="0" borderId="45" xfId="51" applyFont="1" applyFill="1" applyBorder="1" applyAlignment="1" applyProtection="1">
      <alignment vertical="center"/>
      <protection locked="0"/>
    </xf>
    <xf numFmtId="38" fontId="56" fillId="0" borderId="47" xfId="51" applyFont="1" applyFill="1" applyBorder="1" applyAlignment="1">
      <alignment horizontal="center" vertical="center"/>
    </xf>
    <xf numFmtId="38" fontId="56" fillId="0" borderId="53" xfId="51" applyFont="1" applyFill="1" applyBorder="1" applyAlignment="1">
      <alignment horizontal="center" vertical="center"/>
    </xf>
    <xf numFmtId="182" fontId="56" fillId="0" borderId="19" xfId="51" applyNumberFormat="1" applyFont="1" applyFill="1" applyBorder="1" applyAlignment="1" applyProtection="1">
      <alignment vertical="center"/>
      <protection locked="0"/>
    </xf>
    <xf numFmtId="182" fontId="14" fillId="0" borderId="20" xfId="51" applyNumberFormat="1" applyFont="1" applyFill="1" applyBorder="1" applyAlignment="1" applyProtection="1">
      <alignment vertical="center"/>
      <protection locked="0"/>
    </xf>
    <xf numFmtId="182" fontId="14" fillId="0" borderId="21" xfId="51" applyNumberFormat="1" applyFont="1" applyFill="1" applyBorder="1" applyAlignment="1" applyProtection="1">
      <alignment vertical="center"/>
      <protection locked="0"/>
    </xf>
    <xf numFmtId="182" fontId="56" fillId="0" borderId="45" xfId="51" applyNumberFormat="1" applyFont="1" applyFill="1" applyBorder="1" applyAlignment="1" applyProtection="1">
      <alignment vertical="center"/>
      <protection locked="0"/>
    </xf>
    <xf numFmtId="182" fontId="56" fillId="0" borderId="53" xfId="51" applyNumberFormat="1" applyFont="1" applyFill="1" applyBorder="1" applyAlignment="1" applyProtection="1">
      <alignment vertical="center"/>
      <protection locked="0"/>
    </xf>
    <xf numFmtId="182" fontId="56" fillId="0" borderId="56" xfId="51" applyNumberFormat="1" applyFont="1" applyFill="1" applyBorder="1" applyAlignment="1" applyProtection="1">
      <alignment vertical="center"/>
      <protection locked="0"/>
    </xf>
    <xf numFmtId="182" fontId="56" fillId="0" borderId="58" xfId="51" applyNumberFormat="1" applyFont="1" applyFill="1" applyBorder="1" applyAlignment="1" applyProtection="1">
      <alignment vertical="center"/>
      <protection locked="0"/>
    </xf>
    <xf numFmtId="182" fontId="14" fillId="0" borderId="40" xfId="51" applyNumberFormat="1" applyFont="1" applyFill="1" applyBorder="1" applyAlignment="1" applyProtection="1">
      <alignment vertical="center"/>
      <protection locked="0"/>
    </xf>
    <xf numFmtId="182" fontId="14" fillId="0" borderId="38" xfId="51" applyNumberFormat="1" applyFont="1" applyFill="1" applyBorder="1" applyAlignment="1" applyProtection="1">
      <alignment vertical="center"/>
      <protection locked="0"/>
    </xf>
    <xf numFmtId="38" fontId="56" fillId="0" borderId="18" xfId="51" applyFont="1" applyFill="1" applyBorder="1" applyAlignment="1">
      <alignment horizontal="center" vertical="center" shrinkToFit="1"/>
    </xf>
    <xf numFmtId="38" fontId="56" fillId="0" borderId="22" xfId="51" applyFont="1" applyFill="1" applyBorder="1" applyAlignment="1">
      <alignment horizontal="center" vertical="center" shrinkToFit="1"/>
    </xf>
    <xf numFmtId="187" fontId="56" fillId="0" borderId="30" xfId="51" applyNumberFormat="1" applyFont="1" applyFill="1" applyBorder="1" applyAlignment="1" applyProtection="1">
      <alignment horizontal="center" vertical="center"/>
      <protection locked="0"/>
    </xf>
    <xf numFmtId="187" fontId="56" fillId="0" borderId="30" xfId="51" applyNumberFormat="1" applyFont="1" applyFill="1" applyBorder="1" applyAlignment="1" applyProtection="1">
      <alignment horizontal="right" vertical="center" shrinkToFit="1"/>
      <protection locked="0"/>
    </xf>
    <xf numFmtId="187" fontId="56" fillId="0" borderId="21" xfId="51" applyNumberFormat="1" applyFont="1" applyFill="1" applyBorder="1" applyAlignment="1" applyProtection="1">
      <alignment horizontal="center" vertical="center" shrinkToFit="1"/>
      <protection locked="0"/>
    </xf>
    <xf numFmtId="187" fontId="56" fillId="0" borderId="36" xfId="51" applyNumberFormat="1" applyFont="1" applyFill="1" applyBorder="1" applyAlignment="1" applyProtection="1">
      <alignment horizontal="center" vertical="center"/>
      <protection locked="0"/>
    </xf>
    <xf numFmtId="187" fontId="56" fillId="0" borderId="38" xfId="5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63" applyFont="1" applyFill="1">
      <alignment/>
      <protection/>
    </xf>
    <xf numFmtId="0" fontId="14" fillId="0" borderId="0" xfId="63" applyFont="1" applyFill="1" applyAlignment="1">
      <alignment horizontal="right"/>
      <protection/>
    </xf>
    <xf numFmtId="0" fontId="20" fillId="0" borderId="0" xfId="63" applyFont="1" applyFill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3" applyFont="1" applyFill="1" applyAlignment="1">
      <alignment/>
      <protection/>
    </xf>
    <xf numFmtId="0" fontId="14" fillId="0" borderId="0" xfId="63" applyFont="1" applyFill="1" applyAlignment="1">
      <alignment horizontal="center"/>
      <protection/>
    </xf>
    <xf numFmtId="38" fontId="14" fillId="0" borderId="0" xfId="51" applyFont="1" applyFill="1" applyAlignment="1">
      <alignment vertical="center"/>
    </xf>
    <xf numFmtId="38" fontId="14" fillId="0" borderId="10" xfId="51" applyFont="1" applyFill="1" applyBorder="1" applyAlignment="1">
      <alignment vertical="center"/>
    </xf>
    <xf numFmtId="38" fontId="14" fillId="0" borderId="11" xfId="51" applyFont="1" applyFill="1" applyBorder="1" applyAlignment="1">
      <alignment vertical="center"/>
    </xf>
    <xf numFmtId="38" fontId="14" fillId="0" borderId="12" xfId="51" applyFont="1" applyFill="1" applyBorder="1" applyAlignment="1">
      <alignment horizontal="right" vertical="center" shrinkToFit="1"/>
    </xf>
    <xf numFmtId="38" fontId="14" fillId="0" borderId="0" xfId="51" applyFont="1" applyFill="1" applyBorder="1" applyAlignment="1">
      <alignment horizontal="center" vertical="center" shrinkToFit="1"/>
    </xf>
    <xf numFmtId="38" fontId="14" fillId="0" borderId="10" xfId="51" applyFont="1" applyFill="1" applyBorder="1" applyAlignment="1">
      <alignment/>
    </xf>
    <xf numFmtId="38" fontId="14" fillId="0" borderId="12" xfId="51" applyFont="1" applyFill="1" applyBorder="1" applyAlignment="1">
      <alignment horizontal="right" vertical="top"/>
    </xf>
    <xf numFmtId="38" fontId="14" fillId="0" borderId="11" xfId="51" applyFont="1" applyFill="1" applyBorder="1" applyAlignment="1">
      <alignment horizontal="center" vertical="center"/>
    </xf>
    <xf numFmtId="38" fontId="14" fillId="0" borderId="13" xfId="51" applyFont="1" applyFill="1" applyBorder="1" applyAlignment="1">
      <alignment horizontal="center" vertical="center"/>
    </xf>
    <xf numFmtId="38" fontId="14" fillId="0" borderId="12" xfId="51" applyFont="1" applyFill="1" applyBorder="1" applyAlignment="1">
      <alignment horizontal="center" vertical="center"/>
    </xf>
    <xf numFmtId="38" fontId="14" fillId="0" borderId="14" xfId="51" applyFont="1" applyFill="1" applyBorder="1" applyAlignment="1">
      <alignment horizontal="left" vertical="center" shrinkToFit="1"/>
    </xf>
    <xf numFmtId="38" fontId="14" fillId="0" borderId="15" xfId="51" applyFont="1" applyFill="1" applyBorder="1" applyAlignment="1">
      <alignment vertical="center"/>
    </xf>
    <xf numFmtId="38" fontId="14" fillId="0" borderId="16" xfId="51" applyFont="1" applyFill="1" applyBorder="1" applyAlignment="1">
      <alignment vertical="center" shrinkToFit="1"/>
    </xf>
    <xf numFmtId="38" fontId="14" fillId="0" borderId="17" xfId="51" applyFont="1" applyFill="1" applyBorder="1" applyAlignment="1">
      <alignment vertical="center" shrinkToFit="1"/>
    </xf>
    <xf numFmtId="38" fontId="14" fillId="0" borderId="12" xfId="51" applyFont="1" applyFill="1" applyBorder="1" applyAlignment="1">
      <alignment vertical="center"/>
    </xf>
    <xf numFmtId="38" fontId="14" fillId="0" borderId="14" xfId="51" applyFont="1" applyFill="1" applyBorder="1" applyAlignment="1">
      <alignment horizontal="center" vertical="center"/>
    </xf>
    <xf numFmtId="38" fontId="14" fillId="0" borderId="20" xfId="51" applyFont="1" applyFill="1" applyBorder="1" applyAlignment="1">
      <alignment vertical="center"/>
    </xf>
    <xf numFmtId="38" fontId="14" fillId="0" borderId="21" xfId="51" applyFont="1" applyFill="1" applyBorder="1" applyAlignment="1">
      <alignment vertical="center"/>
    </xf>
    <xf numFmtId="0" fontId="14" fillId="0" borderId="10" xfId="63" applyFont="1" applyFill="1" applyBorder="1" applyAlignment="1">
      <alignment vertical="center"/>
      <protection/>
    </xf>
    <xf numFmtId="0" fontId="14" fillId="0" borderId="11" xfId="63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right" vertical="center" shrinkToFit="1"/>
      <protection/>
    </xf>
    <xf numFmtId="0" fontId="14" fillId="0" borderId="14" xfId="63" applyFont="1" applyFill="1" applyBorder="1" applyAlignment="1">
      <alignment horizontal="center" vertical="center" shrinkToFit="1"/>
      <protection/>
    </xf>
    <xf numFmtId="0" fontId="14" fillId="0" borderId="20" xfId="63" applyFont="1" applyFill="1" applyBorder="1" applyAlignment="1">
      <alignment vertical="center"/>
      <protection/>
    </xf>
    <xf numFmtId="0" fontId="14" fillId="0" borderId="21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25" xfId="63" applyFont="1" applyFill="1" applyBorder="1" applyAlignment="1">
      <alignment vertical="center"/>
      <protection/>
    </xf>
    <xf numFmtId="0" fontId="14" fillId="0" borderId="26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horizontal="right" vertical="center"/>
      <protection/>
    </xf>
    <xf numFmtId="38" fontId="14" fillId="0" borderId="0" xfId="51" applyFont="1" applyFill="1" applyBorder="1" applyAlignment="1">
      <alignment horizontal="right" vertical="center"/>
    </xf>
    <xf numFmtId="0" fontId="14" fillId="0" borderId="27" xfId="63" applyFont="1" applyFill="1" applyBorder="1" applyAlignment="1">
      <alignment vertical="center"/>
      <protection/>
    </xf>
    <xf numFmtId="0" fontId="14" fillId="0" borderId="28" xfId="63" applyFont="1" applyFill="1" applyBorder="1" applyAlignment="1">
      <alignment vertical="center"/>
      <protection/>
    </xf>
    <xf numFmtId="0" fontId="14" fillId="0" borderId="29" xfId="63" applyFont="1" applyFill="1" applyBorder="1" applyAlignment="1">
      <alignment horizontal="right" vertical="center"/>
      <protection/>
    </xf>
    <xf numFmtId="0" fontId="14" fillId="0" borderId="30" xfId="63" applyFont="1" applyFill="1" applyBorder="1" applyAlignment="1">
      <alignment vertical="center"/>
      <protection/>
    </xf>
    <xf numFmtId="0" fontId="14" fillId="0" borderId="20" xfId="63" applyFont="1" applyFill="1" applyBorder="1" applyAlignment="1">
      <alignment vertical="center" shrinkToFit="1"/>
      <protection/>
    </xf>
    <xf numFmtId="0" fontId="14" fillId="0" borderId="21" xfId="63" applyFont="1" applyFill="1" applyBorder="1" applyAlignment="1">
      <alignment vertical="center" shrinkToFit="1"/>
      <protection/>
    </xf>
    <xf numFmtId="0" fontId="14" fillId="0" borderId="23" xfId="63" applyFont="1" applyFill="1" applyBorder="1" applyAlignment="1">
      <alignment vertical="center"/>
      <protection/>
    </xf>
    <xf numFmtId="0" fontId="14" fillId="0" borderId="32" xfId="63" applyFont="1" applyFill="1" applyBorder="1" applyAlignment="1">
      <alignment vertical="center"/>
      <protection/>
    </xf>
    <xf numFmtId="0" fontId="14" fillId="0" borderId="14" xfId="63" applyFont="1" applyFill="1" applyBorder="1" applyAlignment="1">
      <alignment horizontal="right" vertical="center"/>
      <protection/>
    </xf>
    <xf numFmtId="38" fontId="14" fillId="0" borderId="14" xfId="51" applyFont="1" applyFill="1" applyBorder="1" applyAlignment="1">
      <alignment horizontal="right" vertical="center"/>
    </xf>
    <xf numFmtId="0" fontId="14" fillId="0" borderId="33" xfId="63" applyFont="1" applyFill="1" applyBorder="1" applyAlignment="1">
      <alignment vertical="center"/>
      <protection/>
    </xf>
    <xf numFmtId="0" fontId="14" fillId="0" borderId="34" xfId="63" applyFont="1" applyFill="1" applyBorder="1" applyAlignment="1">
      <alignment vertical="center"/>
      <protection/>
    </xf>
    <xf numFmtId="0" fontId="14" fillId="0" borderId="35" xfId="63" applyFont="1" applyFill="1" applyBorder="1" applyAlignment="1">
      <alignment horizontal="right" vertical="center"/>
      <protection/>
    </xf>
    <xf numFmtId="38" fontId="14" fillId="0" borderId="14" xfId="51" applyFont="1" applyFill="1" applyBorder="1" applyAlignment="1">
      <alignment vertical="center"/>
    </xf>
    <xf numFmtId="0" fontId="15" fillId="0" borderId="25" xfId="63" applyFont="1" applyFill="1" applyBorder="1" applyAlignment="1">
      <alignment vertical="center"/>
      <protection/>
    </xf>
    <xf numFmtId="0" fontId="14" fillId="0" borderId="18" xfId="63" applyFont="1" applyFill="1" applyBorder="1" applyAlignment="1">
      <alignment horizontal="right" vertical="center"/>
      <protection/>
    </xf>
    <xf numFmtId="0" fontId="14" fillId="0" borderId="38" xfId="63" applyFont="1" applyFill="1" applyBorder="1" applyAlignment="1">
      <alignment vertical="center"/>
      <protection/>
    </xf>
    <xf numFmtId="0" fontId="14" fillId="0" borderId="36" xfId="63" applyFont="1" applyFill="1" applyBorder="1" applyAlignment="1">
      <alignment vertical="center"/>
      <protection/>
    </xf>
    <xf numFmtId="0" fontId="14" fillId="0" borderId="39" xfId="63" applyFont="1" applyFill="1" applyBorder="1" applyAlignment="1">
      <alignment horizontal="right" vertical="center"/>
      <protection/>
    </xf>
    <xf numFmtId="0" fontId="14" fillId="0" borderId="37" xfId="63" applyFont="1" applyFill="1" applyBorder="1" applyAlignment="1">
      <alignment vertical="center"/>
      <protection/>
    </xf>
    <xf numFmtId="0" fontId="14" fillId="0" borderId="40" xfId="63" applyFont="1" applyFill="1" applyBorder="1" applyAlignment="1">
      <alignment vertical="center"/>
      <protection/>
    </xf>
    <xf numFmtId="0" fontId="14" fillId="0" borderId="39" xfId="63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42" xfId="63" applyFont="1" applyFill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4" fillId="0" borderId="31" xfId="63" applyFont="1" applyFill="1" applyBorder="1" applyAlignment="1">
      <alignment horizontal="right" vertical="center"/>
      <protection/>
    </xf>
    <xf numFmtId="0" fontId="14" fillId="0" borderId="42" xfId="63" applyFont="1" applyFill="1" applyBorder="1" applyAlignment="1">
      <alignment vertical="center"/>
      <protection/>
    </xf>
    <xf numFmtId="0" fontId="14" fillId="0" borderId="43" xfId="63" applyFont="1" applyFill="1" applyBorder="1" applyAlignment="1">
      <alignment vertical="center"/>
      <protection/>
    </xf>
    <xf numFmtId="0" fontId="14" fillId="0" borderId="46" xfId="63" applyFont="1" applyFill="1" applyBorder="1" applyAlignment="1">
      <alignment vertical="center"/>
      <protection/>
    </xf>
    <xf numFmtId="0" fontId="14" fillId="0" borderId="13" xfId="63" applyFont="1" applyFill="1" applyBorder="1" applyAlignment="1">
      <alignment vertical="center"/>
      <protection/>
    </xf>
    <xf numFmtId="0" fontId="14" fillId="0" borderId="47" xfId="63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right" vertical="center"/>
      <protection/>
    </xf>
    <xf numFmtId="0" fontId="14" fillId="0" borderId="50" xfId="63" applyFont="1" applyFill="1" applyBorder="1" applyAlignment="1">
      <alignment vertical="center"/>
      <protection/>
    </xf>
    <xf numFmtId="0" fontId="14" fillId="0" borderId="16" xfId="63" applyFont="1" applyFill="1" applyBorder="1" applyAlignment="1">
      <alignment vertical="center"/>
      <protection/>
    </xf>
    <xf numFmtId="0" fontId="14" fillId="0" borderId="17" xfId="63" applyFont="1" applyFill="1" applyBorder="1" applyAlignment="1">
      <alignment vertical="center"/>
      <protection/>
    </xf>
    <xf numFmtId="0" fontId="14" fillId="0" borderId="30" xfId="63" applyFont="1" applyFill="1" applyBorder="1" applyAlignment="1">
      <alignment horizontal="center" vertical="center"/>
      <protection/>
    </xf>
    <xf numFmtId="0" fontId="14" fillId="0" borderId="28" xfId="63" applyFont="1" applyFill="1" applyBorder="1" applyAlignment="1">
      <alignment horizontal="right" vertical="center"/>
      <protection/>
    </xf>
    <xf numFmtId="0" fontId="14" fillId="0" borderId="51" xfId="63" applyFont="1" applyFill="1" applyBorder="1" applyAlignment="1">
      <alignment horizontal="centerContinuous" vertical="center"/>
      <protection/>
    </xf>
    <xf numFmtId="0" fontId="14" fillId="0" borderId="37" xfId="63" applyFont="1" applyFill="1" applyBorder="1" applyAlignment="1">
      <alignment horizontal="centerContinuous" vertical="center"/>
      <protection/>
    </xf>
    <xf numFmtId="0" fontId="14" fillId="0" borderId="43" xfId="63" applyFont="1" applyFill="1" applyBorder="1" applyAlignment="1">
      <alignment horizontal="right" vertical="center"/>
      <protection/>
    </xf>
    <xf numFmtId="0" fontId="14" fillId="0" borderId="15" xfId="63" applyFont="1" applyFill="1" applyBorder="1" applyAlignment="1">
      <alignment vertical="center"/>
      <protection/>
    </xf>
    <xf numFmtId="0" fontId="14" fillId="0" borderId="43" xfId="63" applyFont="1" applyFill="1" applyBorder="1" applyAlignment="1">
      <alignment horizontal="center" vertical="center" wrapText="1"/>
      <protection/>
    </xf>
    <xf numFmtId="0" fontId="14" fillId="0" borderId="42" xfId="63" applyFont="1" applyFill="1" applyBorder="1" applyAlignment="1">
      <alignment horizontal="center" vertical="center" wrapText="1"/>
      <protection/>
    </xf>
    <xf numFmtId="0" fontId="15" fillId="0" borderId="21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54" xfId="63" applyFont="1" applyFill="1" applyBorder="1" applyAlignment="1">
      <alignment horizontal="center" vertical="center" wrapText="1"/>
      <protection/>
    </xf>
    <xf numFmtId="0" fontId="14" fillId="0" borderId="20" xfId="63" applyFont="1" applyFill="1" applyBorder="1" applyAlignment="1">
      <alignment horizontal="center" vertical="center"/>
      <protection/>
    </xf>
    <xf numFmtId="0" fontId="14" fillId="0" borderId="22" xfId="63" applyFont="1" applyFill="1" applyBorder="1" applyAlignment="1">
      <alignment horizontal="center" vertical="center" shrinkToFit="1"/>
      <protection/>
    </xf>
    <xf numFmtId="0" fontId="14" fillId="0" borderId="0" xfId="63" applyFont="1" applyFill="1" applyBorder="1" applyAlignment="1">
      <alignment horizontal="left" vertical="center"/>
      <protection/>
    </xf>
    <xf numFmtId="0" fontId="14" fillId="0" borderId="54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54" xfId="63" applyFont="1" applyFill="1" applyBorder="1" applyAlignment="1">
      <alignment horizontal="right" vertical="center" wrapText="1"/>
      <protection/>
    </xf>
    <xf numFmtId="0" fontId="15" fillId="0" borderId="43" xfId="63" applyFont="1" applyFill="1" applyBorder="1" applyAlignment="1">
      <alignment vertical="center"/>
      <protection/>
    </xf>
    <xf numFmtId="0" fontId="14" fillId="0" borderId="59" xfId="63" applyFont="1" applyFill="1" applyBorder="1" applyAlignment="1">
      <alignment vertical="center"/>
      <protection/>
    </xf>
    <xf numFmtId="0" fontId="14" fillId="0" borderId="55" xfId="63" applyFont="1" applyFill="1" applyBorder="1" applyAlignment="1">
      <alignment vertical="center"/>
      <protection/>
    </xf>
    <xf numFmtId="0" fontId="14" fillId="0" borderId="60" xfId="63" applyFont="1" applyFill="1" applyBorder="1" applyAlignment="1">
      <alignment vertical="center"/>
      <protection/>
    </xf>
    <xf numFmtId="0" fontId="14" fillId="0" borderId="61" xfId="63" applyFont="1" applyFill="1" applyBorder="1" applyAlignment="1">
      <alignment horizontal="center" vertical="center"/>
      <protection/>
    </xf>
    <xf numFmtId="0" fontId="14" fillId="0" borderId="48" xfId="63" applyFont="1" applyFill="1" applyBorder="1" applyAlignment="1">
      <alignment vertical="center"/>
      <protection/>
    </xf>
    <xf numFmtId="0" fontId="14" fillId="0" borderId="61" xfId="63" applyFont="1" applyFill="1" applyBorder="1" applyAlignment="1">
      <alignment horizontal="right" vertical="center"/>
      <protection/>
    </xf>
    <xf numFmtId="0" fontId="14" fillId="0" borderId="62" xfId="63" applyFont="1" applyFill="1" applyBorder="1" applyAlignment="1">
      <alignment vertical="center"/>
      <protection/>
    </xf>
    <xf numFmtId="0" fontId="14" fillId="0" borderId="63" xfId="63" applyFont="1" applyFill="1" applyBorder="1" applyAlignment="1">
      <alignment vertical="center"/>
      <protection/>
    </xf>
    <xf numFmtId="0" fontId="14" fillId="0" borderId="49" xfId="63" applyFont="1" applyFill="1" applyBorder="1" applyAlignment="1">
      <alignment vertical="center"/>
      <protection/>
    </xf>
    <xf numFmtId="0" fontId="14" fillId="0" borderId="44" xfId="63" applyFont="1" applyFill="1" applyBorder="1" applyAlignment="1">
      <alignment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0" fontId="14" fillId="0" borderId="22" xfId="63" applyFont="1" applyFill="1" applyBorder="1" applyAlignment="1">
      <alignment vertical="center"/>
      <protection/>
    </xf>
    <xf numFmtId="0" fontId="14" fillId="0" borderId="36" xfId="63" applyFont="1" applyFill="1" applyBorder="1" applyAlignment="1">
      <alignment vertical="center" shrinkToFit="1"/>
      <protection/>
    </xf>
    <xf numFmtId="0" fontId="14" fillId="0" borderId="39" xfId="63" applyFont="1" applyFill="1" applyBorder="1" applyAlignment="1">
      <alignment horizontal="center" vertical="center" shrinkToFit="1"/>
      <protection/>
    </xf>
    <xf numFmtId="0" fontId="14" fillId="0" borderId="64" xfId="63" applyFont="1" applyFill="1" applyBorder="1" applyAlignment="1">
      <alignment vertical="center"/>
      <protection/>
    </xf>
    <xf numFmtId="0" fontId="14" fillId="0" borderId="36" xfId="63" applyFont="1" applyFill="1" applyBorder="1">
      <alignment/>
      <protection/>
    </xf>
    <xf numFmtId="0" fontId="14" fillId="0" borderId="39" xfId="63" applyFont="1" applyFill="1" applyBorder="1" applyAlignment="1">
      <alignment vertical="center"/>
      <protection/>
    </xf>
    <xf numFmtId="182" fontId="56" fillId="0" borderId="34" xfId="51" applyNumberFormat="1" applyFont="1" applyFill="1" applyBorder="1" applyAlignment="1" applyProtection="1">
      <alignment vertical="center"/>
      <protection locked="0"/>
    </xf>
    <xf numFmtId="182" fontId="56" fillId="0" borderId="44" xfId="51" applyNumberFormat="1" applyFont="1" applyFill="1" applyBorder="1" applyAlignment="1" applyProtection="1">
      <alignment vertical="center"/>
      <protection locked="0"/>
    </xf>
    <xf numFmtId="182" fontId="56" fillId="0" borderId="48" xfId="51" applyNumberFormat="1" applyFont="1" applyFill="1" applyBorder="1" applyAlignment="1" applyProtection="1">
      <alignment vertical="center"/>
      <protection locked="0"/>
    </xf>
    <xf numFmtId="182" fontId="56" fillId="0" borderId="49" xfId="51" applyNumberFormat="1" applyFont="1" applyFill="1" applyBorder="1" applyAlignment="1" applyProtection="1">
      <alignment vertical="center"/>
      <protection locked="0"/>
    </xf>
    <xf numFmtId="182" fontId="4" fillId="0" borderId="23" xfId="51" applyNumberFormat="1" applyFont="1" applyFill="1" applyBorder="1" applyAlignment="1" applyProtection="1">
      <alignment vertical="center"/>
      <protection locked="0"/>
    </xf>
    <xf numFmtId="182" fontId="4" fillId="0" borderId="20" xfId="51" applyNumberFormat="1" applyFont="1" applyFill="1" applyBorder="1" applyAlignment="1" applyProtection="1">
      <alignment vertical="center"/>
      <protection locked="0"/>
    </xf>
    <xf numFmtId="182" fontId="4" fillId="0" borderId="24" xfId="51" applyNumberFormat="1" applyFont="1" applyFill="1" applyBorder="1" applyAlignment="1" applyProtection="1">
      <alignment vertical="center"/>
      <protection locked="0"/>
    </xf>
    <xf numFmtId="188" fontId="56" fillId="0" borderId="23" xfId="51" applyNumberFormat="1" applyFont="1" applyFill="1" applyBorder="1" applyAlignment="1" applyProtection="1">
      <alignment vertical="center"/>
      <protection locked="0"/>
    </xf>
    <xf numFmtId="188" fontId="56" fillId="0" borderId="20" xfId="51" applyNumberFormat="1" applyFont="1" applyFill="1" applyBorder="1" applyAlignment="1" applyProtection="1">
      <alignment vertical="center"/>
      <protection locked="0"/>
    </xf>
    <xf numFmtId="188" fontId="56" fillId="0" borderId="37" xfId="51" applyNumberFormat="1" applyFont="1" applyFill="1" applyBorder="1" applyAlignment="1" applyProtection="1">
      <alignment vertical="center"/>
      <protection locked="0"/>
    </xf>
    <xf numFmtId="188" fontId="56" fillId="0" borderId="40" xfId="51" applyNumberFormat="1" applyFont="1" applyFill="1" applyBorder="1" applyAlignment="1" applyProtection="1">
      <alignment vertical="center"/>
      <protection locked="0"/>
    </xf>
    <xf numFmtId="188" fontId="56" fillId="0" borderId="41" xfId="51" applyNumberFormat="1" applyFont="1" applyFill="1" applyBorder="1" applyAlignment="1" applyProtection="1">
      <alignment vertical="center"/>
      <protection locked="0"/>
    </xf>
    <xf numFmtId="182" fontId="14" fillId="0" borderId="67" xfId="51" applyNumberFormat="1" applyFont="1" applyFill="1" applyBorder="1" applyAlignment="1" applyProtection="1">
      <alignment vertical="center"/>
      <protection locked="0"/>
    </xf>
    <xf numFmtId="182" fontId="14" fillId="0" borderId="37" xfId="51" applyNumberFormat="1" applyFont="1" applyFill="1" applyBorder="1" applyAlignment="1" applyProtection="1">
      <alignment vertical="center"/>
      <protection locked="0"/>
    </xf>
    <xf numFmtId="182" fontId="14" fillId="0" borderId="65" xfId="51" applyNumberFormat="1" applyFont="1" applyFill="1" applyBorder="1" applyAlignment="1" applyProtection="1">
      <alignment vertical="center"/>
      <protection locked="0"/>
    </xf>
    <xf numFmtId="182" fontId="14" fillId="0" borderId="23" xfId="51" applyNumberFormat="1" applyFont="1" applyFill="1" applyBorder="1" applyAlignment="1" applyProtection="1">
      <alignment horizontal="right" vertical="center"/>
      <protection locked="0"/>
    </xf>
    <xf numFmtId="182" fontId="14" fillId="0" borderId="24" xfId="51" applyNumberFormat="1" applyFont="1" applyFill="1" applyBorder="1" applyAlignment="1" applyProtection="1">
      <alignment horizontal="right" vertical="center"/>
      <protection locked="0"/>
    </xf>
    <xf numFmtId="182" fontId="14" fillId="0" borderId="23" xfId="51" applyNumberFormat="1" applyFont="1" applyFill="1" applyBorder="1" applyAlignment="1" applyProtection="1">
      <alignment vertical="center"/>
      <protection locked="0"/>
    </xf>
    <xf numFmtId="182" fontId="56" fillId="0" borderId="22" xfId="51" applyNumberFormat="1" applyFont="1" applyFill="1" applyBorder="1" applyAlignment="1" applyProtection="1">
      <alignment vertical="center"/>
      <protection locked="0"/>
    </xf>
    <xf numFmtId="182" fontId="56" fillId="0" borderId="39" xfId="51" applyNumberFormat="1" applyFont="1" applyFill="1" applyBorder="1" applyAlignment="1" applyProtection="1">
      <alignment vertical="center"/>
      <protection locked="0"/>
    </xf>
    <xf numFmtId="182" fontId="14" fillId="0" borderId="41" xfId="51" applyNumberFormat="1" applyFont="1" applyFill="1" applyBorder="1" applyAlignment="1" applyProtection="1">
      <alignment vertical="center"/>
      <protection locked="0"/>
    </xf>
    <xf numFmtId="182" fontId="14" fillId="0" borderId="24" xfId="51" applyNumberFormat="1" applyFont="1" applyFill="1" applyBorder="1" applyAlignment="1" applyProtection="1">
      <alignment vertical="center"/>
      <protection locked="0"/>
    </xf>
    <xf numFmtId="0" fontId="56" fillId="0" borderId="42" xfId="63" applyFont="1" applyFill="1" applyBorder="1" applyAlignment="1">
      <alignment horizontal="center" vertical="center" textRotation="255"/>
      <protection/>
    </xf>
    <xf numFmtId="0" fontId="56" fillId="0" borderId="54" xfId="63" applyFont="1" applyFill="1" applyBorder="1" applyAlignment="1">
      <alignment horizontal="center" vertical="center" textRotation="255"/>
      <protection/>
    </xf>
    <xf numFmtId="0" fontId="56" fillId="0" borderId="48" xfId="63" applyFont="1" applyFill="1" applyBorder="1" applyAlignment="1">
      <alignment horizontal="center" vertical="center" textRotation="255"/>
      <protection/>
    </xf>
    <xf numFmtId="179" fontId="56" fillId="0" borderId="30" xfId="63" applyNumberFormat="1" applyFont="1" applyFill="1" applyBorder="1" applyAlignment="1" applyProtection="1">
      <alignment horizontal="right" vertical="center"/>
      <protection locked="0"/>
    </xf>
    <xf numFmtId="179" fontId="56" fillId="0" borderId="23" xfId="63" applyNumberFormat="1" applyFont="1" applyFill="1" applyBorder="1" applyAlignment="1" applyProtection="1">
      <alignment horizontal="right" vertical="center"/>
      <protection locked="0"/>
    </xf>
    <xf numFmtId="179" fontId="56" fillId="0" borderId="21" xfId="63" applyNumberFormat="1" applyFont="1" applyFill="1" applyBorder="1" applyAlignment="1" applyProtection="1">
      <alignment horizontal="right" vertical="center"/>
      <protection locked="0"/>
    </xf>
    <xf numFmtId="179" fontId="56" fillId="0" borderId="22" xfId="63" applyNumberFormat="1" applyFont="1" applyFill="1" applyBorder="1" applyAlignment="1" applyProtection="1">
      <alignment horizontal="right" vertical="center"/>
      <protection locked="0"/>
    </xf>
    <xf numFmtId="0" fontId="56" fillId="0" borderId="31" xfId="63" applyFont="1" applyFill="1" applyBorder="1" applyAlignment="1">
      <alignment horizontal="center" vertical="center" textRotation="255"/>
      <protection/>
    </xf>
    <xf numFmtId="0" fontId="56" fillId="0" borderId="70" xfId="63" applyFont="1" applyFill="1" applyBorder="1" applyAlignment="1">
      <alignment horizontal="center" vertical="center" textRotation="255"/>
      <protection/>
    </xf>
    <xf numFmtId="0" fontId="56" fillId="0" borderId="66" xfId="63" applyFont="1" applyFill="1" applyBorder="1" applyAlignment="1">
      <alignment horizontal="center" vertical="center" textRotation="255"/>
      <protection/>
    </xf>
    <xf numFmtId="0" fontId="56" fillId="0" borderId="71" xfId="63" applyFont="1" applyFill="1" applyBorder="1" applyAlignment="1">
      <alignment horizontal="center" vertical="center" textRotation="255"/>
      <protection/>
    </xf>
    <xf numFmtId="0" fontId="56" fillId="0" borderId="70" xfId="63" applyFont="1" applyFill="1" applyBorder="1" applyAlignment="1">
      <alignment horizontal="center" vertical="center" wrapText="1"/>
      <protection/>
    </xf>
    <xf numFmtId="0" fontId="56" fillId="0" borderId="66" xfId="63" applyFont="1" applyFill="1" applyBorder="1" applyAlignment="1">
      <alignment horizontal="center" vertical="center" wrapText="1"/>
      <protection/>
    </xf>
    <xf numFmtId="0" fontId="56" fillId="0" borderId="71" xfId="63" applyFont="1" applyFill="1" applyBorder="1" applyAlignment="1">
      <alignment horizontal="center" vertical="center" wrapText="1"/>
      <protection/>
    </xf>
    <xf numFmtId="179" fontId="56" fillId="0" borderId="26" xfId="63" applyNumberFormat="1" applyFont="1" applyFill="1" applyBorder="1" applyAlignment="1" applyProtection="1">
      <alignment horizontal="right" vertical="center"/>
      <protection locked="0"/>
    </xf>
    <xf numFmtId="179" fontId="56" fillId="0" borderId="15" xfId="63" applyNumberFormat="1" applyFont="1" applyFill="1" applyBorder="1" applyAlignment="1" applyProtection="1">
      <alignment horizontal="right" vertical="center"/>
      <protection locked="0"/>
    </xf>
    <xf numFmtId="179" fontId="56" fillId="0" borderId="17" xfId="63" applyNumberFormat="1" applyFont="1" applyFill="1" applyBorder="1" applyAlignment="1" applyProtection="1">
      <alignment horizontal="right" vertical="center"/>
      <protection locked="0"/>
    </xf>
    <xf numFmtId="179" fontId="56" fillId="0" borderId="18" xfId="63" applyNumberFormat="1" applyFont="1" applyFill="1" applyBorder="1" applyAlignment="1" applyProtection="1">
      <alignment horizontal="right" vertical="center"/>
      <protection locked="0"/>
    </xf>
    <xf numFmtId="179" fontId="56" fillId="0" borderId="36" xfId="63" applyNumberFormat="1" applyFont="1" applyFill="1" applyBorder="1" applyAlignment="1" applyProtection="1">
      <alignment horizontal="right" vertical="center"/>
      <protection locked="0"/>
    </xf>
    <xf numFmtId="179" fontId="56" fillId="0" borderId="37" xfId="63" applyNumberFormat="1" applyFont="1" applyFill="1" applyBorder="1" applyAlignment="1" applyProtection="1">
      <alignment horizontal="right" vertical="center"/>
      <protection locked="0"/>
    </xf>
    <xf numFmtId="179" fontId="56" fillId="0" borderId="38" xfId="63" applyNumberFormat="1" applyFont="1" applyFill="1" applyBorder="1" applyAlignment="1" applyProtection="1">
      <alignment horizontal="right" vertical="center"/>
      <protection locked="0"/>
    </xf>
    <xf numFmtId="179" fontId="56" fillId="0" borderId="39" xfId="63" applyNumberFormat="1" applyFont="1" applyFill="1" applyBorder="1" applyAlignment="1" applyProtection="1">
      <alignment horizontal="right" vertical="center"/>
      <protection locked="0"/>
    </xf>
    <xf numFmtId="0" fontId="61" fillId="0" borderId="59" xfId="63" applyFont="1" applyFill="1" applyBorder="1" applyAlignment="1">
      <alignment horizontal="center" vertical="center" textRotation="255" wrapText="1"/>
      <protection/>
    </xf>
    <xf numFmtId="0" fontId="61" fillId="0" borderId="72" xfId="63" applyFont="1" applyFill="1" applyBorder="1" applyAlignment="1">
      <alignment horizontal="center" vertical="center" textRotation="255" wrapText="1"/>
      <protection/>
    </xf>
    <xf numFmtId="0" fontId="61" fillId="0" borderId="68" xfId="63" applyFont="1" applyFill="1" applyBorder="1" applyAlignment="1">
      <alignment horizontal="center" vertical="center" textRotation="255" wrapText="1"/>
      <protection/>
    </xf>
    <xf numFmtId="0" fontId="56" fillId="0" borderId="55" xfId="63" applyFont="1" applyFill="1" applyBorder="1" applyAlignment="1">
      <alignment horizontal="center" vertical="center" textRotation="255"/>
      <protection/>
    </xf>
    <xf numFmtId="0" fontId="56" fillId="0" borderId="57" xfId="63" applyFont="1" applyFill="1" applyBorder="1" applyAlignment="1">
      <alignment horizontal="center" vertical="center" textRotation="255"/>
      <protection/>
    </xf>
    <xf numFmtId="181" fontId="56" fillId="0" borderId="30" xfId="63" applyNumberFormat="1" applyFont="1" applyFill="1" applyBorder="1" applyAlignment="1" applyProtection="1">
      <alignment horizontal="right" vertical="center"/>
      <protection locked="0"/>
    </xf>
    <xf numFmtId="181" fontId="56" fillId="0" borderId="23" xfId="63" applyNumberFormat="1" applyFont="1" applyFill="1" applyBorder="1" applyAlignment="1" applyProtection="1">
      <alignment horizontal="right" vertical="center"/>
      <protection locked="0"/>
    </xf>
    <xf numFmtId="181" fontId="56" fillId="0" borderId="21" xfId="63" applyNumberFormat="1" applyFont="1" applyFill="1" applyBorder="1" applyAlignment="1" applyProtection="1">
      <alignment horizontal="right" vertical="center"/>
      <protection locked="0"/>
    </xf>
    <xf numFmtId="181" fontId="56" fillId="0" borderId="22" xfId="63" applyNumberFormat="1" applyFont="1" applyFill="1" applyBorder="1" applyAlignment="1" applyProtection="1">
      <alignment horizontal="right" vertical="center"/>
      <protection locked="0"/>
    </xf>
    <xf numFmtId="182" fontId="56" fillId="0" borderId="21" xfId="63" applyNumberFormat="1" applyFont="1" applyFill="1" applyBorder="1" applyAlignment="1" applyProtection="1">
      <alignment horizontal="right" vertical="center"/>
      <protection locked="0"/>
    </xf>
    <xf numFmtId="182" fontId="56" fillId="0" borderId="30" xfId="63" applyNumberFormat="1" applyFont="1" applyFill="1" applyBorder="1" applyAlignment="1" applyProtection="1">
      <alignment horizontal="right" vertical="center"/>
      <protection locked="0"/>
    </xf>
    <xf numFmtId="182" fontId="56" fillId="0" borderId="22" xfId="63" applyNumberFormat="1" applyFont="1" applyFill="1" applyBorder="1" applyAlignment="1" applyProtection="1">
      <alignment horizontal="right" vertical="center"/>
      <protection locked="0"/>
    </xf>
    <xf numFmtId="182" fontId="56" fillId="0" borderId="23" xfId="63" applyNumberFormat="1" applyFont="1" applyFill="1" applyBorder="1" applyAlignment="1" applyProtection="1">
      <alignment horizontal="right" vertical="center"/>
      <protection locked="0"/>
    </xf>
    <xf numFmtId="181" fontId="56" fillId="0" borderId="30" xfId="51" applyNumberFormat="1" applyFont="1" applyFill="1" applyBorder="1" applyAlignment="1" applyProtection="1">
      <alignment horizontal="right" vertical="center"/>
      <protection locked="0"/>
    </xf>
    <xf numFmtId="181" fontId="56" fillId="0" borderId="23" xfId="51" applyNumberFormat="1" applyFont="1" applyFill="1" applyBorder="1" applyAlignment="1" applyProtection="1">
      <alignment horizontal="right" vertical="center"/>
      <protection locked="0"/>
    </xf>
    <xf numFmtId="181" fontId="56" fillId="0" borderId="21" xfId="51" applyNumberFormat="1" applyFont="1" applyFill="1" applyBorder="1" applyAlignment="1" applyProtection="1">
      <alignment horizontal="right" vertical="center"/>
      <protection locked="0"/>
    </xf>
    <xf numFmtId="181" fontId="56" fillId="0" borderId="22" xfId="51" applyNumberFormat="1" applyFont="1" applyFill="1" applyBorder="1" applyAlignment="1" applyProtection="1">
      <alignment horizontal="right" vertical="center"/>
      <protection locked="0"/>
    </xf>
    <xf numFmtId="0" fontId="56" fillId="0" borderId="43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73" xfId="63" applyFont="1" applyFill="1" applyBorder="1" applyAlignment="1">
      <alignment horizontal="center" vertical="center" textRotation="255"/>
      <protection/>
    </xf>
    <xf numFmtId="38" fontId="56" fillId="0" borderId="43" xfId="51" applyFont="1" applyFill="1" applyBorder="1" applyAlignment="1" applyProtection="1">
      <alignment horizontal="right" vertical="center"/>
      <protection locked="0"/>
    </xf>
    <xf numFmtId="38" fontId="56" fillId="0" borderId="42" xfId="51" applyFont="1" applyFill="1" applyBorder="1" applyAlignment="1" applyProtection="1">
      <alignment horizontal="right" vertical="center"/>
      <protection locked="0"/>
    </xf>
    <xf numFmtId="38" fontId="56" fillId="0" borderId="60" xfId="51" applyFont="1" applyFill="1" applyBorder="1" applyAlignment="1" applyProtection="1">
      <alignment horizontal="right" vertical="center"/>
      <protection locked="0"/>
    </xf>
    <xf numFmtId="38" fontId="56" fillId="0" borderId="61" xfId="51" applyFont="1" applyFill="1" applyBorder="1" applyAlignment="1" applyProtection="1">
      <alignment horizontal="right" vertical="center"/>
      <protection locked="0"/>
    </xf>
    <xf numFmtId="0" fontId="56" fillId="0" borderId="59" xfId="63" applyFont="1" applyFill="1" applyBorder="1" applyAlignment="1">
      <alignment horizontal="center" vertical="center" wrapText="1"/>
      <protection/>
    </xf>
    <xf numFmtId="0" fontId="56" fillId="0" borderId="72" xfId="63" applyFont="1" applyFill="1" applyBorder="1" applyAlignment="1">
      <alignment horizontal="center" vertical="center"/>
      <protection/>
    </xf>
    <xf numFmtId="0" fontId="56" fillId="0" borderId="68" xfId="63" applyFont="1" applyFill="1" applyBorder="1" applyAlignment="1">
      <alignment horizontal="center" vertical="center"/>
      <protection/>
    </xf>
    <xf numFmtId="0" fontId="56" fillId="0" borderId="20" xfId="63" applyFont="1" applyFill="1" applyBorder="1" applyAlignment="1">
      <alignment vertical="center" textRotation="255"/>
      <protection/>
    </xf>
    <xf numFmtId="0" fontId="56" fillId="0" borderId="72" xfId="63" applyFont="1" applyFill="1" applyBorder="1" applyAlignment="1">
      <alignment horizontal="center" vertical="center" textRotation="255"/>
      <protection/>
    </xf>
    <xf numFmtId="0" fontId="56" fillId="0" borderId="69" xfId="63" applyFont="1" applyFill="1" applyBorder="1" applyAlignment="1">
      <alignment horizontal="center" vertical="center" textRotation="255"/>
      <protection/>
    </xf>
    <xf numFmtId="0" fontId="56" fillId="0" borderId="28" xfId="63" applyFont="1" applyFill="1" applyBorder="1" applyAlignment="1" applyProtection="1">
      <alignment horizontal="right" vertical="center"/>
      <protection locked="0"/>
    </xf>
    <xf numFmtId="0" fontId="56" fillId="0" borderId="31" xfId="63" applyFont="1" applyFill="1" applyBorder="1" applyAlignment="1" applyProtection="1">
      <alignment horizontal="right" vertical="center"/>
      <protection locked="0"/>
    </xf>
    <xf numFmtId="0" fontId="56" fillId="0" borderId="27" xfId="63" applyFont="1" applyFill="1" applyBorder="1" applyAlignment="1" applyProtection="1">
      <alignment horizontal="right" vertical="center"/>
      <protection locked="0"/>
    </xf>
    <xf numFmtId="0" fontId="56" fillId="0" borderId="29" xfId="63" applyFont="1" applyFill="1" applyBorder="1" applyAlignment="1" applyProtection="1">
      <alignment horizontal="right" vertical="center"/>
      <protection locked="0"/>
    </xf>
    <xf numFmtId="0" fontId="56" fillId="0" borderId="30" xfId="63" applyFont="1" applyFill="1" applyBorder="1" applyAlignment="1" applyProtection="1">
      <alignment horizontal="right" vertical="center"/>
      <protection locked="0"/>
    </xf>
    <xf numFmtId="0" fontId="56" fillId="0" borderId="23" xfId="63" applyFont="1" applyFill="1" applyBorder="1" applyAlignment="1" applyProtection="1">
      <alignment horizontal="right" vertical="center"/>
      <protection locked="0"/>
    </xf>
    <xf numFmtId="0" fontId="56" fillId="0" borderId="21" xfId="63" applyFont="1" applyFill="1" applyBorder="1" applyAlignment="1" applyProtection="1">
      <alignment horizontal="right" vertical="center"/>
      <protection locked="0"/>
    </xf>
    <xf numFmtId="0" fontId="56" fillId="0" borderId="22" xfId="63" applyFont="1" applyFill="1" applyBorder="1" applyAlignment="1" applyProtection="1">
      <alignment horizontal="right" vertical="center"/>
      <protection locked="0"/>
    </xf>
    <xf numFmtId="0" fontId="56" fillId="0" borderId="59" xfId="63" applyFont="1" applyFill="1" applyBorder="1" applyAlignment="1">
      <alignment horizontal="center" vertical="center" textRotation="255"/>
      <protection/>
    </xf>
    <xf numFmtId="0" fontId="62" fillId="0" borderId="10" xfId="63" applyFont="1" applyFill="1" applyBorder="1" applyAlignment="1" applyProtection="1">
      <alignment horizontal="justify" vertical="center" wrapText="1" shrinkToFit="1"/>
      <protection locked="0"/>
    </xf>
    <xf numFmtId="0" fontId="62" fillId="0" borderId="11" xfId="63" applyFont="1" applyFill="1" applyBorder="1" applyAlignment="1" applyProtection="1">
      <alignment horizontal="justify" vertical="center" wrapText="1" shrinkToFit="1"/>
      <protection locked="0"/>
    </xf>
    <xf numFmtId="0" fontId="62" fillId="0" borderId="12" xfId="63" applyFont="1" applyFill="1" applyBorder="1" applyAlignment="1" applyProtection="1">
      <alignment horizontal="justify" vertical="center" wrapText="1" shrinkToFit="1"/>
      <protection locked="0"/>
    </xf>
    <xf numFmtId="38" fontId="56" fillId="0" borderId="10" xfId="51" applyFont="1" applyFill="1" applyBorder="1" applyAlignment="1">
      <alignment horizontal="center" vertical="center"/>
    </xf>
    <xf numFmtId="38" fontId="56" fillId="0" borderId="11" xfId="51" applyFont="1" applyFill="1" applyBorder="1" applyAlignment="1">
      <alignment horizontal="center" vertical="center"/>
    </xf>
    <xf numFmtId="38" fontId="56" fillId="0" borderId="52" xfId="51" applyFont="1" applyFill="1" applyBorder="1" applyAlignment="1">
      <alignment horizontal="center" vertical="center"/>
    </xf>
    <xf numFmtId="38" fontId="56" fillId="0" borderId="47" xfId="51" applyFont="1" applyFill="1" applyBorder="1" applyAlignment="1">
      <alignment horizontal="center" vertical="center"/>
    </xf>
    <xf numFmtId="38" fontId="56" fillId="0" borderId="12" xfId="51" applyFont="1" applyFill="1" applyBorder="1" applyAlignment="1">
      <alignment horizontal="center" vertical="center"/>
    </xf>
    <xf numFmtId="38" fontId="63" fillId="0" borderId="34" xfId="51" applyFont="1" applyFill="1" applyBorder="1" applyAlignment="1">
      <alignment horizontal="left" vertical="center"/>
    </xf>
    <xf numFmtId="176" fontId="64" fillId="0" borderId="11" xfId="51" applyNumberFormat="1" applyFont="1" applyFill="1" applyBorder="1" applyAlignment="1" applyProtection="1">
      <alignment horizontal="center" vertical="center" shrinkToFit="1"/>
      <protection locked="0"/>
    </xf>
    <xf numFmtId="176" fontId="64" fillId="0" borderId="12" xfId="51" applyNumberFormat="1" applyFont="1" applyFill="1" applyBorder="1" applyAlignment="1" applyProtection="1">
      <alignment horizontal="center" vertical="center" shrinkToFit="1"/>
      <protection locked="0"/>
    </xf>
    <xf numFmtId="38" fontId="56" fillId="0" borderId="11" xfId="51" applyFont="1" applyFill="1" applyBorder="1" applyAlignment="1" applyProtection="1">
      <alignment horizontal="center" vertical="center" shrinkToFit="1"/>
      <protection/>
    </xf>
    <xf numFmtId="38" fontId="64" fillId="0" borderId="11" xfId="51" applyFont="1" applyFill="1" applyBorder="1" applyAlignment="1" applyProtection="1">
      <alignment horizontal="center" vertical="center"/>
      <protection locked="0"/>
    </xf>
    <xf numFmtId="38" fontId="64" fillId="0" borderId="12" xfId="51" applyFont="1" applyFill="1" applyBorder="1" applyAlignment="1" applyProtection="1">
      <alignment horizontal="center" vertical="center"/>
      <protection locked="0"/>
    </xf>
    <xf numFmtId="179" fontId="56" fillId="0" borderId="28" xfId="63" applyNumberFormat="1" applyFont="1" applyFill="1" applyBorder="1" applyAlignment="1" applyProtection="1">
      <alignment horizontal="right" vertical="center"/>
      <protection locked="0"/>
    </xf>
    <xf numFmtId="179" fontId="56" fillId="0" borderId="31" xfId="63" applyNumberFormat="1" applyFont="1" applyFill="1" applyBorder="1" applyAlignment="1" applyProtection="1">
      <alignment horizontal="right" vertical="center"/>
      <protection locked="0"/>
    </xf>
    <xf numFmtId="179" fontId="56" fillId="0" borderId="27" xfId="63" applyNumberFormat="1" applyFont="1" applyFill="1" applyBorder="1" applyAlignment="1" applyProtection="1">
      <alignment horizontal="right" vertical="center"/>
      <protection locked="0"/>
    </xf>
    <xf numFmtId="179" fontId="56" fillId="0" borderId="29" xfId="63" applyNumberFormat="1" applyFont="1" applyFill="1" applyBorder="1" applyAlignment="1" applyProtection="1">
      <alignment horizontal="right" vertical="center"/>
      <protection locked="0"/>
    </xf>
    <xf numFmtId="181" fontId="56" fillId="0" borderId="36" xfId="63" applyNumberFormat="1" applyFont="1" applyFill="1" applyBorder="1" applyAlignment="1" applyProtection="1">
      <alignment horizontal="right" vertical="center"/>
      <protection locked="0"/>
    </xf>
    <xf numFmtId="181" fontId="56" fillId="0" borderId="37" xfId="63" applyNumberFormat="1" applyFont="1" applyFill="1" applyBorder="1" applyAlignment="1" applyProtection="1">
      <alignment horizontal="right" vertical="center"/>
      <protection locked="0"/>
    </xf>
    <xf numFmtId="181" fontId="56" fillId="0" borderId="38" xfId="63" applyNumberFormat="1" applyFont="1" applyFill="1" applyBorder="1" applyAlignment="1" applyProtection="1">
      <alignment horizontal="right" vertical="center"/>
      <protection locked="0"/>
    </xf>
    <xf numFmtId="181" fontId="56" fillId="0" borderId="39" xfId="63" applyNumberFormat="1" applyFont="1" applyFill="1" applyBorder="1" applyAlignment="1" applyProtection="1">
      <alignment horizontal="right" vertical="center"/>
      <protection locked="0"/>
    </xf>
    <xf numFmtId="0" fontId="60" fillId="0" borderId="11" xfId="63" applyFont="1" applyFill="1" applyBorder="1" applyAlignment="1" applyProtection="1">
      <alignment horizontal="center" vertical="center" wrapText="1" shrinkToFit="1"/>
      <protection locked="0"/>
    </xf>
    <xf numFmtId="0" fontId="60" fillId="0" borderId="11" xfId="63" applyFont="1" applyFill="1" applyBorder="1" applyAlignment="1" applyProtection="1">
      <alignment horizontal="center" vertical="center" shrinkToFit="1"/>
      <protection locked="0"/>
    </xf>
    <xf numFmtId="0" fontId="60" fillId="0" borderId="12" xfId="63" applyFont="1" applyFill="1" applyBorder="1" applyAlignment="1" applyProtection="1">
      <alignment horizontal="center" vertical="center" shrinkToFit="1"/>
      <protection locked="0"/>
    </xf>
    <xf numFmtId="0" fontId="56" fillId="0" borderId="11" xfId="63" applyFont="1" applyFill="1" applyBorder="1" applyAlignment="1" applyProtection="1">
      <alignment horizontal="center" vertical="center" wrapText="1" shrinkToFit="1"/>
      <protection locked="0"/>
    </xf>
    <xf numFmtId="0" fontId="56" fillId="0" borderId="11" xfId="63" applyFont="1" applyFill="1" applyBorder="1" applyAlignment="1" applyProtection="1">
      <alignment horizontal="center" vertical="center" shrinkToFit="1"/>
      <protection locked="0"/>
    </xf>
    <xf numFmtId="0" fontId="56" fillId="0" borderId="12" xfId="63" applyFont="1" applyFill="1" applyBorder="1" applyAlignment="1" applyProtection="1">
      <alignment horizontal="center" vertical="center" shrinkToFit="1"/>
      <protection locked="0"/>
    </xf>
    <xf numFmtId="0" fontId="15" fillId="0" borderId="10" xfId="63" applyFont="1" applyFill="1" applyBorder="1" applyAlignment="1" applyProtection="1">
      <alignment horizontal="left" vertical="center" wrapText="1" shrinkToFit="1"/>
      <protection locked="0"/>
    </xf>
    <xf numFmtId="0" fontId="15" fillId="0" borderId="11" xfId="63" applyFont="1" applyFill="1" applyBorder="1" applyAlignment="1" applyProtection="1">
      <alignment horizontal="left" vertical="center" wrapText="1" shrinkToFit="1"/>
      <protection locked="0"/>
    </xf>
    <xf numFmtId="0" fontId="15" fillId="0" borderId="12" xfId="63" applyFont="1" applyFill="1" applyBorder="1" applyAlignment="1" applyProtection="1">
      <alignment horizontal="left" vertical="center" wrapText="1" shrinkToFit="1"/>
      <protection locked="0"/>
    </xf>
    <xf numFmtId="176" fontId="13" fillId="0" borderId="11" xfId="51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51" applyNumberFormat="1" applyFont="1" applyFill="1" applyBorder="1" applyAlignment="1" applyProtection="1">
      <alignment horizontal="center" vertical="center" shrinkToFit="1"/>
      <protection locked="0"/>
    </xf>
    <xf numFmtId="38" fontId="14" fillId="0" borderId="11" xfId="51" applyFont="1" applyFill="1" applyBorder="1" applyAlignment="1" applyProtection="1">
      <alignment horizontal="center" vertical="center" shrinkToFit="1"/>
      <protection/>
    </xf>
    <xf numFmtId="38" fontId="13" fillId="0" borderId="11" xfId="51" applyFont="1" applyFill="1" applyBorder="1" applyAlignment="1" applyProtection="1">
      <alignment horizontal="center" vertical="center"/>
      <protection locked="0"/>
    </xf>
    <xf numFmtId="38" fontId="13" fillId="0" borderId="12" xfId="51" applyFont="1" applyFill="1" applyBorder="1" applyAlignment="1" applyProtection="1">
      <alignment horizontal="center" vertical="center"/>
      <protection locked="0"/>
    </xf>
    <xf numFmtId="0" fontId="16" fillId="0" borderId="10" xfId="64" applyFont="1" applyFill="1" applyBorder="1" applyAlignment="1" applyProtection="1">
      <alignment vertical="center" wrapText="1" shrinkToFit="1"/>
      <protection locked="0"/>
    </xf>
    <xf numFmtId="0" fontId="16" fillId="0" borderId="11" xfId="64" applyFont="1" applyFill="1" applyBorder="1" applyAlignment="1" applyProtection="1">
      <alignment vertical="center" shrinkToFit="1"/>
      <protection locked="0"/>
    </xf>
    <xf numFmtId="0" fontId="16" fillId="0" borderId="12" xfId="64" applyFont="1" applyFill="1" applyBorder="1" applyAlignment="1" applyProtection="1">
      <alignment vertical="center" shrinkToFit="1"/>
      <protection locked="0"/>
    </xf>
    <xf numFmtId="0" fontId="17" fillId="0" borderId="11" xfId="63" applyFont="1" applyFill="1" applyBorder="1" applyAlignment="1" applyProtection="1">
      <alignment horizontal="center" vertical="center" wrapText="1" shrinkToFit="1"/>
      <protection locked="0"/>
    </xf>
    <xf numFmtId="0" fontId="17" fillId="0" borderId="11" xfId="63" applyFont="1" applyFill="1" applyBorder="1" applyAlignment="1" applyProtection="1">
      <alignment horizontal="center" vertical="center" shrinkToFit="1"/>
      <protection locked="0"/>
    </xf>
    <xf numFmtId="0" fontId="17" fillId="0" borderId="12" xfId="63" applyFont="1" applyFill="1" applyBorder="1" applyAlignment="1" applyProtection="1">
      <alignment horizontal="center" vertical="center" shrinkToFit="1"/>
      <protection locked="0"/>
    </xf>
    <xf numFmtId="179" fontId="14" fillId="0" borderId="21" xfId="63" applyNumberFormat="1" applyFont="1" applyFill="1" applyBorder="1" applyAlignment="1" applyProtection="1">
      <alignment horizontal="right" vertical="center"/>
      <protection locked="0"/>
    </xf>
    <xf numFmtId="179" fontId="14" fillId="0" borderId="30" xfId="63" applyNumberFormat="1" applyFont="1" applyFill="1" applyBorder="1" applyAlignment="1" applyProtection="1">
      <alignment horizontal="right" vertical="center"/>
      <protection locked="0"/>
    </xf>
    <xf numFmtId="179" fontId="14" fillId="0" borderId="22" xfId="63" applyNumberFormat="1" applyFont="1" applyFill="1" applyBorder="1" applyAlignment="1" applyProtection="1">
      <alignment horizontal="right" vertical="center"/>
      <protection locked="0"/>
    </xf>
    <xf numFmtId="179" fontId="14" fillId="0" borderId="17" xfId="63" applyNumberFormat="1" applyFont="1" applyFill="1" applyBorder="1" applyAlignment="1" applyProtection="1">
      <alignment horizontal="right" vertical="center"/>
      <protection locked="0"/>
    </xf>
    <xf numFmtId="179" fontId="14" fillId="0" borderId="26" xfId="63" applyNumberFormat="1" applyFont="1" applyFill="1" applyBorder="1" applyAlignment="1" applyProtection="1">
      <alignment horizontal="right" vertical="center"/>
      <protection locked="0"/>
    </xf>
    <xf numFmtId="179" fontId="14" fillId="0" borderId="18" xfId="63" applyNumberFormat="1" applyFont="1" applyFill="1" applyBorder="1" applyAlignment="1" applyProtection="1">
      <alignment horizontal="right" vertical="center"/>
      <protection locked="0"/>
    </xf>
    <xf numFmtId="179" fontId="14" fillId="0" borderId="38" xfId="63" applyNumberFormat="1" applyFont="1" applyFill="1" applyBorder="1" applyAlignment="1" applyProtection="1">
      <alignment horizontal="right" vertical="center"/>
      <protection locked="0"/>
    </xf>
    <xf numFmtId="179" fontId="14" fillId="0" borderId="36" xfId="63" applyNumberFormat="1" applyFont="1" applyFill="1" applyBorder="1" applyAlignment="1" applyProtection="1">
      <alignment horizontal="right" vertical="center"/>
      <protection locked="0"/>
    </xf>
    <xf numFmtId="179" fontId="14" fillId="0" borderId="39" xfId="63" applyNumberFormat="1" applyFont="1" applyFill="1" applyBorder="1" applyAlignment="1" applyProtection="1">
      <alignment horizontal="right" vertical="center"/>
      <protection locked="0"/>
    </xf>
    <xf numFmtId="181" fontId="14" fillId="0" borderId="21" xfId="63" applyNumberFormat="1" applyFont="1" applyFill="1" applyBorder="1" applyAlignment="1" applyProtection="1">
      <alignment horizontal="right" vertical="center"/>
      <protection locked="0"/>
    </xf>
    <xf numFmtId="181" fontId="14" fillId="0" borderId="30" xfId="63" applyNumberFormat="1" applyFont="1" applyFill="1" applyBorder="1" applyAlignment="1" applyProtection="1">
      <alignment horizontal="right" vertical="center"/>
      <protection locked="0"/>
    </xf>
    <xf numFmtId="181" fontId="14" fillId="0" borderId="22" xfId="63" applyNumberFormat="1" applyFont="1" applyFill="1" applyBorder="1" applyAlignment="1" applyProtection="1">
      <alignment horizontal="right" vertical="center"/>
      <protection locked="0"/>
    </xf>
    <xf numFmtId="181" fontId="14" fillId="0" borderId="21" xfId="51" applyNumberFormat="1" applyFont="1" applyFill="1" applyBorder="1" applyAlignment="1" applyProtection="1">
      <alignment horizontal="right" vertical="center"/>
      <protection locked="0"/>
    </xf>
    <xf numFmtId="181" fontId="14" fillId="0" borderId="30" xfId="51" applyNumberFormat="1" applyFont="1" applyFill="1" applyBorder="1" applyAlignment="1" applyProtection="1">
      <alignment horizontal="right" vertical="center"/>
      <protection locked="0"/>
    </xf>
    <xf numFmtId="181" fontId="14" fillId="0" borderId="22" xfId="51" applyNumberFormat="1" applyFont="1" applyFill="1" applyBorder="1" applyAlignment="1" applyProtection="1">
      <alignment horizontal="right" vertical="center"/>
      <protection locked="0"/>
    </xf>
    <xf numFmtId="179" fontId="14" fillId="0" borderId="27" xfId="63" applyNumberFormat="1" applyFont="1" applyFill="1" applyBorder="1" applyAlignment="1" applyProtection="1">
      <alignment horizontal="right" vertical="center"/>
      <protection locked="0"/>
    </xf>
    <xf numFmtId="179" fontId="14" fillId="0" borderId="28" xfId="63" applyNumberFormat="1" applyFont="1" applyFill="1" applyBorder="1" applyAlignment="1" applyProtection="1">
      <alignment horizontal="right" vertical="center"/>
      <protection locked="0"/>
    </xf>
    <xf numFmtId="179" fontId="14" fillId="0" borderId="29" xfId="63" applyNumberFormat="1" applyFont="1" applyFill="1" applyBorder="1" applyAlignment="1" applyProtection="1">
      <alignment horizontal="right" vertical="center"/>
      <protection locked="0"/>
    </xf>
    <xf numFmtId="181" fontId="14" fillId="0" borderId="38" xfId="63" applyNumberFormat="1" applyFont="1" applyFill="1" applyBorder="1" applyAlignment="1" applyProtection="1">
      <alignment horizontal="right" vertical="center"/>
      <protection locked="0"/>
    </xf>
    <xf numFmtId="181" fontId="14" fillId="0" borderId="36" xfId="63" applyNumberFormat="1" applyFont="1" applyFill="1" applyBorder="1" applyAlignment="1" applyProtection="1">
      <alignment horizontal="right" vertical="center"/>
      <protection locked="0"/>
    </xf>
    <xf numFmtId="181" fontId="14" fillId="0" borderId="39" xfId="63" applyNumberFormat="1" applyFont="1" applyFill="1" applyBorder="1" applyAlignment="1" applyProtection="1">
      <alignment horizontal="right" vertical="center"/>
      <protection locked="0"/>
    </xf>
    <xf numFmtId="0" fontId="4" fillId="0" borderId="42" xfId="63" applyFont="1" applyFill="1" applyBorder="1" applyAlignment="1">
      <alignment horizontal="center" vertical="center" textRotation="255"/>
      <protection/>
    </xf>
    <xf numFmtId="0" fontId="4" fillId="0" borderId="54" xfId="63" applyFont="1" applyFill="1" applyBorder="1" applyAlignment="1">
      <alignment horizontal="center" vertical="center" textRotation="255"/>
      <protection/>
    </xf>
    <xf numFmtId="0" fontId="4" fillId="0" borderId="48" xfId="63" applyFont="1" applyFill="1" applyBorder="1" applyAlignment="1">
      <alignment horizontal="center" vertical="center" textRotation="255"/>
      <protection/>
    </xf>
    <xf numFmtId="179" fontId="4" fillId="0" borderId="30" xfId="63" applyNumberFormat="1" applyFont="1" applyFill="1" applyBorder="1" applyAlignment="1" applyProtection="1">
      <alignment horizontal="right" vertical="center"/>
      <protection locked="0"/>
    </xf>
    <xf numFmtId="179" fontId="4" fillId="0" borderId="23" xfId="63" applyNumberFormat="1" applyFont="1" applyFill="1" applyBorder="1" applyAlignment="1" applyProtection="1">
      <alignment horizontal="right" vertical="center"/>
      <protection locked="0"/>
    </xf>
    <xf numFmtId="179" fontId="4" fillId="0" borderId="21" xfId="63" applyNumberFormat="1" applyFont="1" applyFill="1" applyBorder="1" applyAlignment="1" applyProtection="1">
      <alignment horizontal="right" vertical="center"/>
      <protection locked="0"/>
    </xf>
    <xf numFmtId="179" fontId="4" fillId="0" borderId="22" xfId="63" applyNumberFormat="1" applyFont="1" applyFill="1" applyBorder="1" applyAlignment="1" applyProtection="1">
      <alignment horizontal="right" vertical="center"/>
      <protection locked="0"/>
    </xf>
    <xf numFmtId="0" fontId="4" fillId="0" borderId="31" xfId="63" applyFont="1" applyFill="1" applyBorder="1" applyAlignment="1">
      <alignment horizontal="center" vertical="center" textRotation="255"/>
      <protection/>
    </xf>
    <xf numFmtId="0" fontId="4" fillId="0" borderId="70" xfId="63" applyFont="1" applyFill="1" applyBorder="1" applyAlignment="1">
      <alignment horizontal="center" vertical="center" textRotation="255"/>
      <protection/>
    </xf>
    <xf numFmtId="0" fontId="4" fillId="0" borderId="66" xfId="63" applyFont="1" applyFill="1" applyBorder="1" applyAlignment="1">
      <alignment horizontal="center" vertical="center" textRotation="255"/>
      <protection/>
    </xf>
    <xf numFmtId="0" fontId="4" fillId="0" borderId="71" xfId="63" applyFont="1" applyFill="1" applyBorder="1" applyAlignment="1">
      <alignment horizontal="center" vertical="center" textRotation="255"/>
      <protection/>
    </xf>
    <xf numFmtId="0" fontId="4" fillId="0" borderId="70" xfId="63" applyFont="1" applyFill="1" applyBorder="1" applyAlignment="1">
      <alignment horizontal="center" vertical="center" wrapText="1"/>
      <protection/>
    </xf>
    <xf numFmtId="0" fontId="4" fillId="0" borderId="66" xfId="63" applyFont="1" applyFill="1" applyBorder="1" applyAlignment="1">
      <alignment horizontal="center" vertical="center" wrapText="1"/>
      <protection/>
    </xf>
    <xf numFmtId="0" fontId="4" fillId="0" borderId="71" xfId="63" applyFont="1" applyFill="1" applyBorder="1" applyAlignment="1">
      <alignment horizontal="center" vertical="center" wrapText="1"/>
      <protection/>
    </xf>
    <xf numFmtId="179" fontId="4" fillId="0" borderId="26" xfId="63" applyNumberFormat="1" applyFont="1" applyFill="1" applyBorder="1" applyAlignment="1" applyProtection="1">
      <alignment horizontal="right" vertical="center"/>
      <protection locked="0"/>
    </xf>
    <xf numFmtId="179" fontId="4" fillId="0" borderId="15" xfId="63" applyNumberFormat="1" applyFont="1" applyFill="1" applyBorder="1" applyAlignment="1" applyProtection="1">
      <alignment horizontal="right" vertical="center"/>
      <protection locked="0"/>
    </xf>
    <xf numFmtId="179" fontId="4" fillId="0" borderId="17" xfId="63" applyNumberFormat="1" applyFont="1" applyFill="1" applyBorder="1" applyAlignment="1" applyProtection="1">
      <alignment horizontal="right" vertical="center"/>
      <protection locked="0"/>
    </xf>
    <xf numFmtId="179" fontId="4" fillId="0" borderId="18" xfId="63" applyNumberFormat="1" applyFont="1" applyFill="1" applyBorder="1" applyAlignment="1" applyProtection="1">
      <alignment horizontal="right" vertical="center"/>
      <protection locked="0"/>
    </xf>
    <xf numFmtId="179" fontId="4" fillId="0" borderId="36" xfId="63" applyNumberFormat="1" applyFont="1" applyFill="1" applyBorder="1" applyAlignment="1" applyProtection="1">
      <alignment horizontal="right" vertical="center"/>
      <protection locked="0"/>
    </xf>
    <xf numFmtId="179" fontId="4" fillId="0" borderId="37" xfId="63" applyNumberFormat="1" applyFont="1" applyFill="1" applyBorder="1" applyAlignment="1" applyProtection="1">
      <alignment horizontal="right" vertical="center"/>
      <protection locked="0"/>
    </xf>
    <xf numFmtId="179" fontId="4" fillId="0" borderId="38" xfId="63" applyNumberFormat="1" applyFont="1" applyFill="1" applyBorder="1" applyAlignment="1" applyProtection="1">
      <alignment horizontal="right" vertical="center"/>
      <protection locked="0"/>
    </xf>
    <xf numFmtId="179" fontId="4" fillId="0" borderId="39" xfId="63" applyNumberFormat="1" applyFont="1" applyFill="1" applyBorder="1" applyAlignment="1" applyProtection="1">
      <alignment horizontal="right" vertical="center"/>
      <protection locked="0"/>
    </xf>
    <xf numFmtId="0" fontId="12" fillId="0" borderId="59" xfId="63" applyFont="1" applyFill="1" applyBorder="1" applyAlignment="1">
      <alignment horizontal="center" vertical="center" textRotation="255" wrapText="1"/>
      <protection/>
    </xf>
    <xf numFmtId="0" fontId="12" fillId="0" borderId="72" xfId="63" applyFont="1" applyFill="1" applyBorder="1" applyAlignment="1">
      <alignment horizontal="center" vertical="center" textRotation="255" wrapText="1"/>
      <protection/>
    </xf>
    <xf numFmtId="0" fontId="12" fillId="0" borderId="68" xfId="63" applyFont="1" applyFill="1" applyBorder="1" applyAlignment="1">
      <alignment horizontal="center" vertical="center" textRotation="255" wrapText="1"/>
      <protection/>
    </xf>
    <xf numFmtId="0" fontId="4" fillId="0" borderId="55" xfId="63" applyFont="1" applyFill="1" applyBorder="1" applyAlignment="1">
      <alignment horizontal="center" vertical="center" textRotation="255"/>
      <protection/>
    </xf>
    <xf numFmtId="0" fontId="4" fillId="0" borderId="57" xfId="63" applyFont="1" applyFill="1" applyBorder="1" applyAlignment="1">
      <alignment horizontal="center" vertical="center" textRotation="255"/>
      <protection/>
    </xf>
    <xf numFmtId="181" fontId="4" fillId="0" borderId="30" xfId="63" applyNumberFormat="1" applyFont="1" applyFill="1" applyBorder="1" applyAlignment="1" applyProtection="1">
      <alignment horizontal="right" vertical="center"/>
      <protection locked="0"/>
    </xf>
    <xf numFmtId="181" fontId="4" fillId="0" borderId="23" xfId="63" applyNumberFormat="1" applyFont="1" applyFill="1" applyBorder="1" applyAlignment="1" applyProtection="1">
      <alignment horizontal="right" vertical="center"/>
      <protection locked="0"/>
    </xf>
    <xf numFmtId="181" fontId="4" fillId="0" borderId="21" xfId="63" applyNumberFormat="1" applyFont="1" applyFill="1" applyBorder="1" applyAlignment="1" applyProtection="1">
      <alignment horizontal="right" vertical="center"/>
      <protection locked="0"/>
    </xf>
    <xf numFmtId="181" fontId="4" fillId="0" borderId="22" xfId="63" applyNumberFormat="1" applyFont="1" applyFill="1" applyBorder="1" applyAlignment="1" applyProtection="1">
      <alignment horizontal="right" vertical="center"/>
      <protection locked="0"/>
    </xf>
    <xf numFmtId="181" fontId="4" fillId="0" borderId="30" xfId="51" applyNumberFormat="1" applyFont="1" applyFill="1" applyBorder="1" applyAlignment="1" applyProtection="1">
      <alignment horizontal="right" vertical="center"/>
      <protection locked="0"/>
    </xf>
    <xf numFmtId="181" fontId="4" fillId="0" borderId="23" xfId="51" applyNumberFormat="1" applyFont="1" applyFill="1" applyBorder="1" applyAlignment="1" applyProtection="1">
      <alignment horizontal="right" vertical="center"/>
      <protection locked="0"/>
    </xf>
    <xf numFmtId="181" fontId="4" fillId="0" borderId="21" xfId="51" applyNumberFormat="1" applyFont="1" applyFill="1" applyBorder="1" applyAlignment="1" applyProtection="1">
      <alignment horizontal="right" vertical="center"/>
      <protection locked="0"/>
    </xf>
    <xf numFmtId="181" fontId="4" fillId="0" borderId="22" xfId="51" applyNumberFormat="1" applyFont="1" applyFill="1" applyBorder="1" applyAlignment="1" applyProtection="1">
      <alignment horizontal="right" vertical="center"/>
      <protection locked="0"/>
    </xf>
    <xf numFmtId="0" fontId="4" fillId="0" borderId="43" xfId="63" applyFont="1" applyFill="1" applyBorder="1" applyAlignment="1">
      <alignment horizontal="left" vertical="center"/>
      <protection/>
    </xf>
    <xf numFmtId="0" fontId="4" fillId="0" borderId="28" xfId="63" applyFont="1" applyFill="1" applyBorder="1" applyAlignment="1">
      <alignment horizontal="left" vertical="center"/>
      <protection/>
    </xf>
    <xf numFmtId="0" fontId="4" fillId="0" borderId="73" xfId="63" applyFont="1" applyFill="1" applyBorder="1" applyAlignment="1">
      <alignment horizontal="center" vertical="center" textRotation="255"/>
      <protection/>
    </xf>
    <xf numFmtId="38" fontId="4" fillId="0" borderId="43" xfId="51" applyFont="1" applyFill="1" applyBorder="1" applyAlignment="1" applyProtection="1">
      <alignment horizontal="right" vertical="center"/>
      <protection locked="0"/>
    </xf>
    <xf numFmtId="38" fontId="4" fillId="0" borderId="42" xfId="51" applyFont="1" applyFill="1" applyBorder="1" applyAlignment="1" applyProtection="1">
      <alignment horizontal="right" vertical="center"/>
      <protection locked="0"/>
    </xf>
    <xf numFmtId="38" fontId="4" fillId="0" borderId="60" xfId="51" applyFont="1" applyFill="1" applyBorder="1" applyAlignment="1" applyProtection="1">
      <alignment horizontal="right" vertical="center"/>
      <protection locked="0"/>
    </xf>
    <xf numFmtId="38" fontId="4" fillId="0" borderId="61" xfId="51" applyFont="1" applyFill="1" applyBorder="1" applyAlignment="1" applyProtection="1">
      <alignment horizontal="right" vertical="center"/>
      <protection locked="0"/>
    </xf>
    <xf numFmtId="0" fontId="4" fillId="0" borderId="59" xfId="63" applyFont="1" applyFill="1" applyBorder="1" applyAlignment="1">
      <alignment horizontal="center" vertical="center" wrapText="1"/>
      <protection/>
    </xf>
    <xf numFmtId="0" fontId="4" fillId="0" borderId="72" xfId="63" applyFont="1" applyFill="1" applyBorder="1" applyAlignment="1">
      <alignment horizontal="center" vertical="center"/>
      <protection/>
    </xf>
    <xf numFmtId="0" fontId="4" fillId="0" borderId="68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vertical="center" textRotation="255"/>
      <protection/>
    </xf>
    <xf numFmtId="0" fontId="4" fillId="0" borderId="72" xfId="63" applyFont="1" applyFill="1" applyBorder="1" applyAlignment="1">
      <alignment horizontal="center" vertical="center" textRotation="255"/>
      <protection/>
    </xf>
    <xf numFmtId="0" fontId="4" fillId="0" borderId="69" xfId="63" applyFont="1" applyFill="1" applyBorder="1" applyAlignment="1">
      <alignment horizontal="center" vertical="center" textRotation="255"/>
      <protection/>
    </xf>
    <xf numFmtId="0" fontId="4" fillId="0" borderId="28" xfId="63" applyFont="1" applyFill="1" applyBorder="1" applyAlignment="1" applyProtection="1">
      <alignment horizontal="right" vertical="center"/>
      <protection locked="0"/>
    </xf>
    <xf numFmtId="0" fontId="4" fillId="0" borderId="31" xfId="63" applyFont="1" applyFill="1" applyBorder="1" applyAlignment="1" applyProtection="1">
      <alignment horizontal="right" vertical="center"/>
      <protection locked="0"/>
    </xf>
    <xf numFmtId="0" fontId="4" fillId="0" borderId="27" xfId="63" applyFont="1" applyFill="1" applyBorder="1" applyAlignment="1" applyProtection="1">
      <alignment horizontal="right" vertical="center"/>
      <protection locked="0"/>
    </xf>
    <xf numFmtId="0" fontId="4" fillId="0" borderId="29" xfId="63" applyFont="1" applyFill="1" applyBorder="1" applyAlignment="1" applyProtection="1">
      <alignment horizontal="right" vertical="center"/>
      <protection locked="0"/>
    </xf>
    <xf numFmtId="0" fontId="4" fillId="0" borderId="30" xfId="63" applyFont="1" applyFill="1" applyBorder="1" applyAlignment="1" applyProtection="1">
      <alignment horizontal="right" vertical="center"/>
      <protection locked="0"/>
    </xf>
    <xf numFmtId="0" fontId="4" fillId="0" borderId="23" xfId="63" applyFont="1" applyFill="1" applyBorder="1" applyAlignment="1" applyProtection="1">
      <alignment horizontal="right" vertical="center"/>
      <protection locked="0"/>
    </xf>
    <xf numFmtId="0" fontId="4" fillId="0" borderId="21" xfId="63" applyFont="1" applyFill="1" applyBorder="1" applyAlignment="1" applyProtection="1">
      <alignment horizontal="right" vertical="center"/>
      <protection locked="0"/>
    </xf>
    <xf numFmtId="0" fontId="4" fillId="0" borderId="22" xfId="63" applyFont="1" applyFill="1" applyBorder="1" applyAlignment="1" applyProtection="1">
      <alignment horizontal="right" vertical="center"/>
      <protection locked="0"/>
    </xf>
    <xf numFmtId="0" fontId="4" fillId="0" borderId="59" xfId="63" applyFont="1" applyFill="1" applyBorder="1" applyAlignment="1">
      <alignment horizontal="center" vertical="center" textRotation="255"/>
      <protection/>
    </xf>
    <xf numFmtId="0" fontId="4" fillId="0" borderId="11" xfId="63" applyFont="1" applyFill="1" applyBorder="1" applyAlignment="1" applyProtection="1">
      <alignment horizontal="center" vertical="center" wrapText="1" shrinkToFit="1"/>
      <protection locked="0"/>
    </xf>
    <xf numFmtId="0" fontId="4" fillId="0" borderId="11" xfId="63" applyFont="1" applyFill="1" applyBorder="1" applyAlignment="1" applyProtection="1">
      <alignment horizontal="center" vertical="center" shrinkToFit="1"/>
      <protection locked="0"/>
    </xf>
    <xf numFmtId="0" fontId="4" fillId="0" borderId="12" xfId="63" applyFont="1" applyFill="1" applyBorder="1" applyAlignment="1" applyProtection="1">
      <alignment horizontal="center" vertical="center" shrinkToFit="1"/>
      <protection locked="0"/>
    </xf>
    <xf numFmtId="38" fontId="4" fillId="0" borderId="10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52" xfId="51" applyFont="1" applyFill="1" applyBorder="1" applyAlignment="1">
      <alignment horizontal="center" vertical="center"/>
    </xf>
    <xf numFmtId="38" fontId="4" fillId="0" borderId="47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38" fontId="8" fillId="0" borderId="34" xfId="51" applyFont="1" applyFill="1" applyBorder="1" applyAlignment="1">
      <alignment horizontal="left" vertical="center"/>
    </xf>
    <xf numFmtId="176" fontId="9" fillId="0" borderId="11" xfId="51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51" applyNumberFormat="1" applyFont="1" applyFill="1" applyBorder="1" applyAlignment="1" applyProtection="1">
      <alignment horizontal="center" vertical="center" shrinkToFit="1"/>
      <protection locked="0"/>
    </xf>
    <xf numFmtId="38" fontId="4" fillId="0" borderId="11" xfId="51" applyFont="1" applyFill="1" applyBorder="1" applyAlignment="1" applyProtection="1">
      <alignment horizontal="center" vertical="center" shrinkToFit="1"/>
      <protection/>
    </xf>
    <xf numFmtId="38" fontId="9" fillId="0" borderId="11" xfId="51" applyFont="1" applyFill="1" applyBorder="1" applyAlignment="1" applyProtection="1">
      <alignment horizontal="center" vertical="center"/>
      <protection locked="0"/>
    </xf>
    <xf numFmtId="38" fontId="9" fillId="0" borderId="12" xfId="51" applyFont="1" applyFill="1" applyBorder="1" applyAlignment="1" applyProtection="1">
      <alignment horizontal="center" vertical="center"/>
      <protection locked="0"/>
    </xf>
    <xf numFmtId="179" fontId="4" fillId="0" borderId="28" xfId="63" applyNumberFormat="1" applyFont="1" applyFill="1" applyBorder="1" applyAlignment="1" applyProtection="1">
      <alignment horizontal="right" vertical="center"/>
      <protection locked="0"/>
    </xf>
    <xf numFmtId="179" fontId="4" fillId="0" borderId="31" xfId="63" applyNumberFormat="1" applyFont="1" applyFill="1" applyBorder="1" applyAlignment="1" applyProtection="1">
      <alignment horizontal="right" vertical="center"/>
      <protection locked="0"/>
    </xf>
    <xf numFmtId="179" fontId="4" fillId="0" borderId="27" xfId="63" applyNumberFormat="1" applyFont="1" applyFill="1" applyBorder="1" applyAlignment="1" applyProtection="1">
      <alignment horizontal="right" vertical="center"/>
      <protection locked="0"/>
    </xf>
    <xf numFmtId="179" fontId="4" fillId="0" borderId="29" xfId="63" applyNumberFormat="1" applyFont="1" applyFill="1" applyBorder="1" applyAlignment="1" applyProtection="1">
      <alignment horizontal="right" vertical="center"/>
      <protection locked="0"/>
    </xf>
    <xf numFmtId="181" fontId="4" fillId="0" borderId="36" xfId="63" applyNumberFormat="1" applyFont="1" applyFill="1" applyBorder="1" applyAlignment="1" applyProtection="1">
      <alignment horizontal="right" vertical="center"/>
      <protection locked="0"/>
    </xf>
    <xf numFmtId="181" fontId="4" fillId="0" borderId="37" xfId="63" applyNumberFormat="1" applyFont="1" applyFill="1" applyBorder="1" applyAlignment="1" applyProtection="1">
      <alignment horizontal="right" vertical="center"/>
      <protection locked="0"/>
    </xf>
    <xf numFmtId="181" fontId="4" fillId="0" borderId="38" xfId="63" applyNumberFormat="1" applyFont="1" applyFill="1" applyBorder="1" applyAlignment="1" applyProtection="1">
      <alignment horizontal="right" vertical="center"/>
      <protection locked="0"/>
    </xf>
    <xf numFmtId="181" fontId="4" fillId="0" borderId="39" xfId="63" applyNumberFormat="1" applyFont="1" applyFill="1" applyBorder="1" applyAlignment="1" applyProtection="1">
      <alignment horizontal="right" vertical="center"/>
      <protection locked="0"/>
    </xf>
    <xf numFmtId="179" fontId="14" fillId="0" borderId="23" xfId="63" applyNumberFormat="1" applyFont="1" applyFill="1" applyBorder="1" applyAlignment="1" applyProtection="1">
      <alignment horizontal="right" vertical="center"/>
      <protection locked="0"/>
    </xf>
    <xf numFmtId="179" fontId="14" fillId="0" borderId="15" xfId="63" applyNumberFormat="1" applyFont="1" applyFill="1" applyBorder="1" applyAlignment="1" applyProtection="1">
      <alignment horizontal="right" vertical="center"/>
      <protection locked="0"/>
    </xf>
    <xf numFmtId="179" fontId="14" fillId="0" borderId="37" xfId="63" applyNumberFormat="1" applyFont="1" applyFill="1" applyBorder="1" applyAlignment="1" applyProtection="1">
      <alignment horizontal="right" vertical="center"/>
      <protection locked="0"/>
    </xf>
    <xf numFmtId="181" fontId="14" fillId="0" borderId="20" xfId="63" applyNumberFormat="1" applyFont="1" applyFill="1" applyBorder="1" applyAlignment="1" applyProtection="1">
      <alignment horizontal="right" vertical="center"/>
      <protection locked="0"/>
    </xf>
    <xf numFmtId="181" fontId="14" fillId="0" borderId="23" xfId="63" applyNumberFormat="1" applyFont="1" applyFill="1" applyBorder="1" applyAlignment="1" applyProtection="1">
      <alignment horizontal="right" vertical="center"/>
      <protection locked="0"/>
    </xf>
    <xf numFmtId="181" fontId="14" fillId="0" borderId="20" xfId="51" applyNumberFormat="1" applyFont="1" applyFill="1" applyBorder="1" applyAlignment="1" applyProtection="1">
      <alignment horizontal="right" vertical="center"/>
      <protection locked="0"/>
    </xf>
    <xf numFmtId="181" fontId="14" fillId="0" borderId="23" xfId="51" applyNumberFormat="1" applyFont="1" applyFill="1" applyBorder="1" applyAlignment="1" applyProtection="1">
      <alignment horizontal="right" vertical="center"/>
      <protection locked="0"/>
    </xf>
    <xf numFmtId="179" fontId="14" fillId="0" borderId="20" xfId="63" applyNumberFormat="1" applyFont="1" applyFill="1" applyBorder="1" applyAlignment="1" applyProtection="1">
      <alignment horizontal="right" vertical="center"/>
      <protection locked="0"/>
    </xf>
    <xf numFmtId="38" fontId="14" fillId="0" borderId="74" xfId="51" applyFont="1" applyFill="1" applyBorder="1" applyAlignment="1" applyProtection="1">
      <alignment horizontal="right" vertical="center"/>
      <protection locked="0"/>
    </xf>
    <xf numFmtId="38" fontId="14" fillId="0" borderId="43" xfId="51" applyFont="1" applyFill="1" applyBorder="1" applyAlignment="1" applyProtection="1">
      <alignment horizontal="right" vertical="center"/>
      <protection locked="0"/>
    </xf>
    <xf numFmtId="38" fontId="14" fillId="0" borderId="42" xfId="51" applyFont="1" applyFill="1" applyBorder="1" applyAlignment="1" applyProtection="1">
      <alignment horizontal="right" vertical="center"/>
      <protection locked="0"/>
    </xf>
    <xf numFmtId="38" fontId="14" fillId="0" borderId="60" xfId="51" applyFont="1" applyFill="1" applyBorder="1" applyAlignment="1" applyProtection="1">
      <alignment horizontal="right" vertical="center"/>
      <protection locked="0"/>
    </xf>
    <xf numFmtId="0" fontId="14" fillId="0" borderId="62" xfId="63" applyFont="1" applyFill="1" applyBorder="1" applyAlignment="1" applyProtection="1">
      <alignment horizontal="right" vertical="center"/>
      <protection locked="0"/>
    </xf>
    <xf numFmtId="0" fontId="14" fillId="0" borderId="28" xfId="63" applyFont="1" applyFill="1" applyBorder="1" applyAlignment="1" applyProtection="1">
      <alignment horizontal="right" vertical="center"/>
      <protection locked="0"/>
    </xf>
    <xf numFmtId="0" fontId="14" fillId="0" borderId="31" xfId="63" applyFont="1" applyFill="1" applyBorder="1" applyAlignment="1" applyProtection="1">
      <alignment horizontal="right" vertical="center"/>
      <protection locked="0"/>
    </xf>
    <xf numFmtId="0" fontId="14" fillId="0" borderId="27" xfId="63" applyFont="1" applyFill="1" applyBorder="1" applyAlignment="1" applyProtection="1">
      <alignment horizontal="right" vertical="center"/>
      <protection locked="0"/>
    </xf>
    <xf numFmtId="0" fontId="14" fillId="0" borderId="32" xfId="63" applyFont="1" applyFill="1" applyBorder="1" applyAlignment="1" applyProtection="1">
      <alignment horizontal="right" vertical="center"/>
      <protection locked="0"/>
    </xf>
    <xf numFmtId="0" fontId="14" fillId="0" borderId="30" xfId="63" applyFont="1" applyFill="1" applyBorder="1" applyAlignment="1" applyProtection="1">
      <alignment horizontal="right" vertical="center"/>
      <protection locked="0"/>
    </xf>
    <xf numFmtId="0" fontId="14" fillId="0" borderId="23" xfId="63" applyFont="1" applyFill="1" applyBorder="1" applyAlignment="1" applyProtection="1">
      <alignment horizontal="right" vertical="center"/>
      <protection locked="0"/>
    </xf>
    <xf numFmtId="0" fontId="14" fillId="0" borderId="21" xfId="63" applyFont="1" applyFill="1" applyBorder="1" applyAlignment="1" applyProtection="1">
      <alignment horizontal="right" vertical="center"/>
      <protection locked="0"/>
    </xf>
    <xf numFmtId="0" fontId="14" fillId="0" borderId="11" xfId="63" applyFont="1" applyFill="1" applyBorder="1" applyAlignment="1" applyProtection="1">
      <alignment horizontal="center" vertical="center" wrapText="1" shrinkToFit="1"/>
      <protection locked="0"/>
    </xf>
    <xf numFmtId="0" fontId="14" fillId="0" borderId="11" xfId="63" applyFont="1" applyFill="1" applyBorder="1" applyAlignment="1" applyProtection="1">
      <alignment horizontal="center" vertical="center" shrinkToFit="1"/>
      <protection locked="0"/>
    </xf>
    <xf numFmtId="0" fontId="14" fillId="0" borderId="12" xfId="63" applyFont="1" applyFill="1" applyBorder="1" applyAlignment="1" applyProtection="1">
      <alignment horizontal="center" vertical="center" shrinkToFit="1"/>
      <protection locked="0"/>
    </xf>
    <xf numFmtId="179" fontId="14" fillId="0" borderId="16" xfId="63" applyNumberFormat="1" applyFont="1" applyFill="1" applyBorder="1" applyAlignment="1" applyProtection="1">
      <alignment horizontal="right" vertical="center"/>
      <protection locked="0"/>
    </xf>
    <xf numFmtId="179" fontId="14" fillId="0" borderId="31" xfId="63" applyNumberFormat="1" applyFont="1" applyFill="1" applyBorder="1" applyAlignment="1" applyProtection="1">
      <alignment horizontal="right" vertical="center"/>
      <protection locked="0"/>
    </xf>
    <xf numFmtId="181" fontId="14" fillId="0" borderId="40" xfId="63" applyNumberFormat="1" applyFont="1" applyFill="1" applyBorder="1" applyAlignment="1" applyProtection="1">
      <alignment horizontal="right" vertical="center"/>
      <protection locked="0"/>
    </xf>
    <xf numFmtId="181" fontId="14" fillId="0" borderId="37" xfId="63" applyNumberFormat="1" applyFont="1" applyFill="1" applyBorder="1" applyAlignment="1" applyProtection="1">
      <alignment horizontal="right" vertical="center"/>
      <protection locked="0"/>
    </xf>
    <xf numFmtId="182" fontId="14" fillId="0" borderId="21" xfId="63" applyNumberFormat="1" applyFont="1" applyFill="1" applyBorder="1" applyAlignment="1" applyProtection="1">
      <alignment horizontal="right" vertical="center"/>
      <protection locked="0"/>
    </xf>
    <xf numFmtId="182" fontId="14" fillId="0" borderId="30" xfId="63" applyNumberFormat="1" applyFont="1" applyFill="1" applyBorder="1" applyAlignment="1" applyProtection="1">
      <alignment horizontal="right" vertical="center"/>
      <protection locked="0"/>
    </xf>
    <xf numFmtId="182" fontId="14" fillId="0" borderId="23" xfId="63" applyNumberFormat="1" applyFont="1" applyFill="1" applyBorder="1" applyAlignment="1" applyProtection="1">
      <alignment horizontal="right" vertical="center"/>
      <protection locked="0"/>
    </xf>
    <xf numFmtId="0" fontId="14" fillId="0" borderId="10" xfId="63" applyFont="1" applyFill="1" applyBorder="1" applyAlignment="1" applyProtection="1">
      <alignment vertical="center" wrapText="1" shrinkToFit="1"/>
      <protection locked="0"/>
    </xf>
    <xf numFmtId="0" fontId="14" fillId="0" borderId="11" xfId="63" applyFont="1" applyFill="1" applyBorder="1" applyAlignment="1" applyProtection="1">
      <alignment vertical="center" shrinkToFit="1"/>
      <protection locked="0"/>
    </xf>
    <xf numFmtId="0" fontId="14" fillId="0" borderId="12" xfId="63" applyFont="1" applyFill="1" applyBorder="1" applyAlignment="1" applyProtection="1">
      <alignment vertical="center" shrinkToFit="1"/>
      <protection locked="0"/>
    </xf>
    <xf numFmtId="182" fontId="56" fillId="0" borderId="21" xfId="51" applyNumberFormat="1" applyFont="1" applyFill="1" applyBorder="1" applyAlignment="1" applyProtection="1">
      <alignment horizontal="right" vertical="center"/>
      <protection locked="0"/>
    </xf>
    <xf numFmtId="182" fontId="56" fillId="0" borderId="30" xfId="51" applyNumberFormat="1" applyFont="1" applyFill="1" applyBorder="1" applyAlignment="1" applyProtection="1">
      <alignment horizontal="right" vertical="center"/>
      <protection locked="0"/>
    </xf>
    <xf numFmtId="182" fontId="56" fillId="0" borderId="22" xfId="51" applyNumberFormat="1" applyFont="1" applyFill="1" applyBorder="1" applyAlignment="1" applyProtection="1">
      <alignment horizontal="right" vertical="center"/>
      <protection locked="0"/>
    </xf>
    <xf numFmtId="38" fontId="14" fillId="0" borderId="21" xfId="51" applyFont="1" applyFill="1" applyBorder="1" applyAlignment="1" applyProtection="1">
      <alignment horizontal="right" vertical="center"/>
      <protection locked="0"/>
    </xf>
    <xf numFmtId="38" fontId="14" fillId="0" borderId="30" xfId="51" applyFont="1" applyFill="1" applyBorder="1" applyAlignment="1" applyProtection="1">
      <alignment horizontal="right" vertical="center"/>
      <protection locked="0"/>
    </xf>
    <xf numFmtId="38" fontId="14" fillId="0" borderId="23" xfId="51" applyFont="1" applyFill="1" applyBorder="1" applyAlignment="1" applyProtection="1">
      <alignment horizontal="right" vertical="center"/>
      <protection locked="0"/>
    </xf>
    <xf numFmtId="38" fontId="18" fillId="0" borderId="34" xfId="51" applyFont="1" applyFill="1" applyBorder="1" applyAlignment="1">
      <alignment horizontal="left" vertical="center"/>
    </xf>
    <xf numFmtId="182" fontId="14" fillId="0" borderId="38" xfId="63" applyNumberFormat="1" applyFont="1" applyFill="1" applyBorder="1" applyAlignment="1" applyProtection="1">
      <alignment horizontal="right" vertical="center"/>
      <protection locked="0"/>
    </xf>
    <xf numFmtId="182" fontId="14" fillId="0" borderId="36" xfId="63" applyNumberFormat="1" applyFont="1" applyFill="1" applyBorder="1" applyAlignment="1" applyProtection="1">
      <alignment horizontal="right" vertical="center"/>
      <protection locked="0"/>
    </xf>
    <xf numFmtId="182" fontId="14" fillId="0" borderId="37" xfId="63" applyNumberFormat="1" applyFont="1" applyFill="1" applyBorder="1" applyAlignment="1" applyProtection="1">
      <alignment horizontal="right" vertical="center"/>
      <protection locked="0"/>
    </xf>
    <xf numFmtId="182" fontId="56" fillId="0" borderId="36" xfId="63" applyNumberFormat="1" applyFont="1" applyFill="1" applyBorder="1" applyAlignment="1" applyProtection="1">
      <alignment horizontal="right" vertical="center"/>
      <protection locked="0"/>
    </xf>
    <xf numFmtId="182" fontId="56" fillId="0" borderId="39" xfId="63" applyNumberFormat="1" applyFont="1" applyFill="1" applyBorder="1" applyAlignment="1" applyProtection="1">
      <alignment horizontal="right" vertical="center"/>
      <protection locked="0"/>
    </xf>
    <xf numFmtId="38" fontId="14" fillId="0" borderId="61" xfId="51" applyFont="1" applyFill="1" applyBorder="1" applyAlignment="1" applyProtection="1">
      <alignment horizontal="right" vertical="center"/>
      <protection locked="0"/>
    </xf>
    <xf numFmtId="0" fontId="14" fillId="0" borderId="29" xfId="63" applyFont="1" applyFill="1" applyBorder="1" applyAlignment="1" applyProtection="1">
      <alignment horizontal="right" vertical="center"/>
      <protection locked="0"/>
    </xf>
    <xf numFmtId="0" fontId="14" fillId="0" borderId="22" xfId="63" applyFont="1" applyFill="1" applyBorder="1" applyAlignment="1" applyProtection="1">
      <alignment horizontal="right" vertical="center"/>
      <protection locked="0"/>
    </xf>
    <xf numFmtId="0" fontId="19" fillId="0" borderId="10" xfId="63" applyFont="1" applyFill="1" applyBorder="1" applyAlignment="1" applyProtection="1">
      <alignment vertical="center" wrapText="1" shrinkToFit="1"/>
      <protection locked="0"/>
    </xf>
    <xf numFmtId="0" fontId="19" fillId="0" borderId="11" xfId="63" applyFont="1" applyFill="1" applyBorder="1" applyAlignment="1" applyProtection="1">
      <alignment vertical="center" shrinkToFit="1"/>
      <protection locked="0"/>
    </xf>
    <xf numFmtId="0" fontId="19" fillId="0" borderId="12" xfId="63" applyFont="1" applyFill="1" applyBorder="1" applyAlignment="1" applyProtection="1">
      <alignment vertical="center" shrinkToFit="1"/>
      <protection locked="0"/>
    </xf>
    <xf numFmtId="38" fontId="56" fillId="0" borderId="21" xfId="51" applyFont="1" applyFill="1" applyBorder="1" applyAlignment="1" applyProtection="1">
      <alignment horizontal="right" vertical="center"/>
      <protection locked="0"/>
    </xf>
    <xf numFmtId="38" fontId="56" fillId="0" borderId="30" xfId="51" applyFont="1" applyFill="1" applyBorder="1" applyAlignment="1" applyProtection="1">
      <alignment horizontal="right" vertical="center"/>
      <protection locked="0"/>
    </xf>
    <xf numFmtId="38" fontId="56" fillId="0" borderId="23" xfId="51" applyFont="1" applyFill="1" applyBorder="1" applyAlignment="1" applyProtection="1">
      <alignment horizontal="right" vertical="center"/>
      <protection locked="0"/>
    </xf>
    <xf numFmtId="0" fontId="14" fillId="0" borderId="10" xfId="63" applyFont="1" applyFill="1" applyBorder="1" applyAlignment="1" applyProtection="1">
      <alignment horizontal="center" vertical="center" wrapText="1" shrinkToFit="1"/>
      <protection locked="0"/>
    </xf>
    <xf numFmtId="0" fontId="14" fillId="0" borderId="12" xfId="63" applyFont="1" applyFill="1" applyBorder="1" applyAlignment="1" applyProtection="1">
      <alignment horizontal="center" vertical="center" wrapText="1" shrinkToFit="1"/>
      <protection locked="0"/>
    </xf>
    <xf numFmtId="189" fontId="56" fillId="0" borderId="21" xfId="63" applyNumberFormat="1" applyFont="1" applyFill="1" applyBorder="1" applyAlignment="1" applyProtection="1">
      <alignment horizontal="right" vertical="center"/>
      <protection locked="0"/>
    </xf>
    <xf numFmtId="189" fontId="56" fillId="0" borderId="30" xfId="63" applyNumberFormat="1" applyFont="1" applyFill="1" applyBorder="1" applyAlignment="1" applyProtection="1">
      <alignment horizontal="right" vertical="center"/>
      <protection locked="0"/>
    </xf>
    <xf numFmtId="189" fontId="56" fillId="0" borderId="22" xfId="63" applyNumberFormat="1" applyFont="1" applyFill="1" applyBorder="1" applyAlignment="1" applyProtection="1">
      <alignment horizontal="right" vertical="center"/>
      <protection locked="0"/>
    </xf>
    <xf numFmtId="0" fontId="14" fillId="0" borderId="42" xfId="63" applyFont="1" applyFill="1" applyBorder="1" applyAlignment="1">
      <alignment horizontal="center" vertical="center" textRotation="255"/>
      <protection/>
    </xf>
    <xf numFmtId="0" fontId="14" fillId="0" borderId="54" xfId="63" applyFont="1" applyFill="1" applyBorder="1" applyAlignment="1">
      <alignment horizontal="center" vertical="center" textRotation="255"/>
      <protection/>
    </xf>
    <xf numFmtId="0" fontId="14" fillId="0" borderId="48" xfId="63" applyFont="1" applyFill="1" applyBorder="1" applyAlignment="1">
      <alignment horizontal="center" vertical="center" textRotation="255"/>
      <protection/>
    </xf>
    <xf numFmtId="179" fontId="14" fillId="0" borderId="32" xfId="63" applyNumberFormat="1" applyFont="1" applyFill="1" applyBorder="1" applyAlignment="1" applyProtection="1">
      <alignment horizontal="right" vertical="center"/>
      <protection locked="0"/>
    </xf>
    <xf numFmtId="0" fontId="3" fillId="0" borderId="30" xfId="63" applyBorder="1" applyAlignment="1">
      <alignment horizontal="right" vertical="center"/>
      <protection/>
    </xf>
    <xf numFmtId="0" fontId="3" fillId="0" borderId="23" xfId="63" applyBorder="1" applyAlignment="1">
      <alignment horizontal="right" vertical="center"/>
      <protection/>
    </xf>
    <xf numFmtId="0" fontId="14" fillId="0" borderId="31" xfId="63" applyFont="1" applyFill="1" applyBorder="1" applyAlignment="1">
      <alignment horizontal="center" vertical="center" textRotation="255"/>
      <protection/>
    </xf>
    <xf numFmtId="0" fontId="14" fillId="0" borderId="70" xfId="63" applyFont="1" applyFill="1" applyBorder="1" applyAlignment="1">
      <alignment horizontal="center" vertical="center" textRotation="255"/>
      <protection/>
    </xf>
    <xf numFmtId="0" fontId="14" fillId="0" borderId="66" xfId="63" applyFont="1" applyFill="1" applyBorder="1" applyAlignment="1">
      <alignment horizontal="center" vertical="center" textRotation="255"/>
      <protection/>
    </xf>
    <xf numFmtId="0" fontId="14" fillId="0" borderId="71" xfId="63" applyFont="1" applyFill="1" applyBorder="1" applyAlignment="1">
      <alignment horizontal="center" vertical="center" textRotation="255"/>
      <protection/>
    </xf>
    <xf numFmtId="0" fontId="14" fillId="0" borderId="70" xfId="63" applyFont="1" applyFill="1" applyBorder="1" applyAlignment="1">
      <alignment horizontal="center" vertical="center" wrapText="1"/>
      <protection/>
    </xf>
    <xf numFmtId="0" fontId="14" fillId="0" borderId="66" xfId="63" applyFont="1" applyFill="1" applyBorder="1" applyAlignment="1">
      <alignment horizontal="center" vertical="center" wrapText="1"/>
      <protection/>
    </xf>
    <xf numFmtId="0" fontId="14" fillId="0" borderId="71" xfId="63" applyFont="1" applyFill="1" applyBorder="1" applyAlignment="1">
      <alignment horizontal="center" vertical="center" wrapText="1"/>
      <protection/>
    </xf>
    <xf numFmtId="179" fontId="14" fillId="0" borderId="25" xfId="63" applyNumberFormat="1" applyFont="1" applyFill="1" applyBorder="1" applyAlignment="1" applyProtection="1">
      <alignment horizontal="right" vertical="center"/>
      <protection locked="0"/>
    </xf>
    <xf numFmtId="0" fontId="3" fillId="0" borderId="26" xfId="63" applyBorder="1" applyAlignment="1">
      <alignment horizontal="right" vertical="center"/>
      <protection/>
    </xf>
    <xf numFmtId="0" fontId="3" fillId="0" borderId="15" xfId="63" applyBorder="1" applyAlignment="1">
      <alignment horizontal="right" vertical="center"/>
      <protection/>
    </xf>
    <xf numFmtId="179" fontId="14" fillId="0" borderId="51" xfId="63" applyNumberFormat="1" applyFont="1" applyFill="1" applyBorder="1" applyAlignment="1" applyProtection="1">
      <alignment horizontal="right" vertical="center"/>
      <protection locked="0"/>
    </xf>
    <xf numFmtId="0" fontId="3" fillId="0" borderId="36" xfId="63" applyBorder="1" applyAlignment="1">
      <alignment horizontal="right" vertical="center"/>
      <protection/>
    </xf>
    <xf numFmtId="0" fontId="3" fillId="0" borderId="37" xfId="63" applyBorder="1" applyAlignment="1">
      <alignment horizontal="right" vertical="center"/>
      <protection/>
    </xf>
    <xf numFmtId="0" fontId="23" fillId="0" borderId="59" xfId="63" applyFont="1" applyFill="1" applyBorder="1" applyAlignment="1">
      <alignment horizontal="center" vertical="center" textRotation="255" wrapText="1"/>
      <protection/>
    </xf>
    <xf numFmtId="0" fontId="23" fillId="0" borderId="72" xfId="63" applyFont="1" applyFill="1" applyBorder="1" applyAlignment="1">
      <alignment horizontal="center" vertical="center" textRotation="255" wrapText="1"/>
      <protection/>
    </xf>
    <xf numFmtId="0" fontId="23" fillId="0" borderId="68" xfId="63" applyFont="1" applyFill="1" applyBorder="1" applyAlignment="1">
      <alignment horizontal="center" vertical="center" textRotation="255" wrapText="1"/>
      <protection/>
    </xf>
    <xf numFmtId="0" fontId="14" fillId="0" borderId="55" xfId="63" applyFont="1" applyFill="1" applyBorder="1" applyAlignment="1">
      <alignment horizontal="center" vertical="center" textRotation="255"/>
      <protection/>
    </xf>
    <xf numFmtId="0" fontId="14" fillId="0" borderId="57" xfId="63" applyFont="1" applyFill="1" applyBorder="1" applyAlignment="1">
      <alignment horizontal="center" vertical="center" textRotation="255"/>
      <protection/>
    </xf>
    <xf numFmtId="181" fontId="14" fillId="0" borderId="32" xfId="63" applyNumberFormat="1" applyFont="1" applyFill="1" applyBorder="1" applyAlignment="1" applyProtection="1">
      <alignment horizontal="right" vertical="center"/>
      <protection locked="0"/>
    </xf>
    <xf numFmtId="181" fontId="14" fillId="0" borderId="32" xfId="51" applyNumberFormat="1" applyFont="1" applyFill="1" applyBorder="1" applyAlignment="1" applyProtection="1">
      <alignment horizontal="right" vertical="center"/>
      <protection locked="0"/>
    </xf>
    <xf numFmtId="0" fontId="14" fillId="0" borderId="43" xfId="63" applyFont="1" applyFill="1" applyBorder="1" applyAlignment="1">
      <alignment horizontal="left" vertical="center"/>
      <protection/>
    </xf>
    <xf numFmtId="0" fontId="14" fillId="0" borderId="28" xfId="63" applyFont="1" applyFill="1" applyBorder="1" applyAlignment="1">
      <alignment horizontal="left" vertical="center"/>
      <protection/>
    </xf>
    <xf numFmtId="0" fontId="14" fillId="0" borderId="73" xfId="63" applyFont="1" applyFill="1" applyBorder="1" applyAlignment="1">
      <alignment horizontal="center" vertical="center" textRotation="255"/>
      <protection/>
    </xf>
    <xf numFmtId="38" fontId="14" fillId="0" borderId="32" xfId="51" applyFont="1" applyFill="1" applyBorder="1" applyAlignment="1" applyProtection="1">
      <alignment horizontal="right" vertical="center" shrinkToFit="1"/>
      <protection locked="0"/>
    </xf>
    <xf numFmtId="0" fontId="3" fillId="0" borderId="30" xfId="63" applyBorder="1" applyAlignment="1">
      <alignment horizontal="right" vertical="center" shrinkToFit="1"/>
      <protection/>
    </xf>
    <xf numFmtId="0" fontId="3" fillId="0" borderId="23" xfId="63" applyBorder="1" applyAlignment="1">
      <alignment horizontal="right" vertical="center" shrinkToFit="1"/>
      <protection/>
    </xf>
    <xf numFmtId="0" fontId="14" fillId="0" borderId="59" xfId="63" applyFont="1" applyFill="1" applyBorder="1" applyAlignment="1">
      <alignment horizontal="center" vertical="center" wrapText="1"/>
      <protection/>
    </xf>
    <xf numFmtId="0" fontId="14" fillId="0" borderId="72" xfId="63" applyFont="1" applyFill="1" applyBorder="1" applyAlignment="1">
      <alignment horizontal="center" vertical="center"/>
      <protection/>
    </xf>
    <xf numFmtId="0" fontId="14" fillId="0" borderId="68" xfId="63" applyFont="1" applyFill="1" applyBorder="1" applyAlignment="1">
      <alignment horizontal="center" vertical="center"/>
      <protection/>
    </xf>
    <xf numFmtId="0" fontId="14" fillId="0" borderId="20" xfId="63" applyFont="1" applyFill="1" applyBorder="1" applyAlignment="1">
      <alignment vertical="center" textRotation="255"/>
      <protection/>
    </xf>
    <xf numFmtId="0" fontId="14" fillId="0" borderId="72" xfId="63" applyFont="1" applyFill="1" applyBorder="1" applyAlignment="1">
      <alignment horizontal="center" vertical="center" textRotation="255"/>
      <protection/>
    </xf>
    <xf numFmtId="0" fontId="14" fillId="0" borderId="69" xfId="63" applyFont="1" applyFill="1" applyBorder="1" applyAlignment="1">
      <alignment horizontal="center" vertical="center" textRotation="255"/>
      <protection/>
    </xf>
    <xf numFmtId="0" fontId="14" fillId="0" borderId="59" xfId="63" applyFont="1" applyFill="1" applyBorder="1" applyAlignment="1">
      <alignment horizontal="center" vertical="center" textRotation="255"/>
      <protection/>
    </xf>
    <xf numFmtId="38" fontId="14" fillId="0" borderId="10" xfId="51" applyFont="1" applyFill="1" applyBorder="1" applyAlignment="1">
      <alignment horizontal="center" vertical="center" shrinkToFit="1"/>
    </xf>
    <xf numFmtId="0" fontId="3" fillId="0" borderId="11" xfId="63" applyBorder="1" applyAlignment="1">
      <alignment horizontal="center" vertical="center" shrinkToFit="1"/>
      <protection/>
    </xf>
    <xf numFmtId="0" fontId="3" fillId="0" borderId="52" xfId="63" applyBorder="1" applyAlignment="1">
      <alignment horizontal="center" vertical="center" shrinkToFit="1"/>
      <protection/>
    </xf>
    <xf numFmtId="38" fontId="14" fillId="0" borderId="47" xfId="51" applyFont="1" applyFill="1" applyBorder="1" applyAlignment="1">
      <alignment horizontal="center" vertical="center"/>
    </xf>
    <xf numFmtId="38" fontId="14" fillId="0" borderId="11" xfId="51" applyFont="1" applyFill="1" applyBorder="1" applyAlignment="1">
      <alignment horizontal="center" vertical="center"/>
    </xf>
    <xf numFmtId="38" fontId="14" fillId="0" borderId="12" xfId="51" applyFont="1" applyFill="1" applyBorder="1" applyAlignment="1">
      <alignment horizontal="center" vertical="center"/>
    </xf>
    <xf numFmtId="181" fontId="14" fillId="0" borderId="51" xfId="63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]_病院　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2420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476250</xdr:colOff>
      <xdr:row>8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24</xdr:col>
      <xdr:colOff>381000</xdr:colOff>
      <xdr:row>4</xdr:row>
      <xdr:rowOff>371475</xdr:rowOff>
    </xdr:to>
    <xdr:sp>
      <xdr:nvSpPr>
        <xdr:cNvPr id="2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tabSelected="1" view="pageBreakPreview" zoomScale="70" zoomScaleNormal="70" zoomScaleSheetLayoutView="70" zoomScalePageLayoutView="0" workbookViewId="0" topLeftCell="A1">
      <selection activeCell="C3" sqref="C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1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36186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37742</v>
      </c>
      <c r="H6" s="691"/>
      <c r="I6" s="691"/>
      <c r="J6" s="691"/>
      <c r="K6" s="691"/>
      <c r="L6" s="693" t="s">
        <v>10</v>
      </c>
      <c r="M6" s="693"/>
      <c r="N6" s="693"/>
      <c r="O6" s="17">
        <v>7</v>
      </c>
      <c r="P6" s="18" t="s">
        <v>11</v>
      </c>
      <c r="Q6" s="19">
        <v>1</v>
      </c>
      <c r="R6" s="20" t="s">
        <v>12</v>
      </c>
      <c r="S6" s="21"/>
      <c r="T6" s="629" t="s">
        <v>13</v>
      </c>
      <c r="U6" s="22" t="s">
        <v>14</v>
      </c>
      <c r="V6" s="23"/>
      <c r="W6" s="23"/>
      <c r="X6" s="24"/>
      <c r="Y6" s="25" t="s">
        <v>15</v>
      </c>
      <c r="Z6" s="26">
        <f>Z7+Z14</f>
        <v>9663179</v>
      </c>
      <c r="AA6" s="27">
        <f>AA7+AA14</f>
        <v>9954028</v>
      </c>
      <c r="AB6" s="28">
        <f>AB7+AB14</f>
        <v>9580424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17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18</v>
      </c>
      <c r="V7" s="31" t="s">
        <v>19</v>
      </c>
      <c r="W7" s="31"/>
      <c r="X7" s="32"/>
      <c r="Y7" s="33" t="s">
        <v>20</v>
      </c>
      <c r="Z7" s="34">
        <f>Z8+Z12</f>
        <v>9662110</v>
      </c>
      <c r="AA7" s="35">
        <f>AA8+AA12</f>
        <v>9923473</v>
      </c>
      <c r="AB7" s="36">
        <f>AB8+AB12</f>
        <v>9574243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682" t="s">
        <v>22</v>
      </c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4"/>
      <c r="S8" s="40"/>
      <c r="T8" s="630"/>
      <c r="U8" s="671"/>
      <c r="V8" s="646" t="s">
        <v>18</v>
      </c>
      <c r="W8" s="41" t="s">
        <v>23</v>
      </c>
      <c r="X8" s="42"/>
      <c r="Y8" s="43" t="s">
        <v>24</v>
      </c>
      <c r="Z8" s="34">
        <v>7384258</v>
      </c>
      <c r="AA8" s="35">
        <v>8065729</v>
      </c>
      <c r="AB8" s="36">
        <v>7939778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25</v>
      </c>
      <c r="X9" s="42" t="s">
        <v>26</v>
      </c>
      <c r="Y9" s="43"/>
      <c r="Z9" s="34">
        <v>4861964</v>
      </c>
      <c r="AA9" s="35">
        <v>5476426</v>
      </c>
      <c r="AB9" s="36">
        <v>5417959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380</v>
      </c>
      <c r="H10" s="49" t="s">
        <v>30</v>
      </c>
      <c r="I10" s="50">
        <f>SUM(I11:I15)</f>
        <v>380</v>
      </c>
      <c r="J10" s="51" t="s">
        <v>12</v>
      </c>
      <c r="K10" s="52">
        <f>SUM(K11:K15)</f>
        <v>380</v>
      </c>
      <c r="L10" s="53" t="s">
        <v>30</v>
      </c>
      <c r="M10" s="48">
        <f>SUM(M11:M15)</f>
        <v>380</v>
      </c>
      <c r="N10" s="51" t="s">
        <v>12</v>
      </c>
      <c r="O10" s="52">
        <f>SUM(O11:O15)</f>
        <v>380</v>
      </c>
      <c r="P10" s="53" t="s">
        <v>30</v>
      </c>
      <c r="Q10" s="50">
        <f>SUM(Q11:Q15)</f>
        <v>380</v>
      </c>
      <c r="R10" s="25" t="s">
        <v>12</v>
      </c>
      <c r="S10" s="54"/>
      <c r="T10" s="630"/>
      <c r="U10" s="671"/>
      <c r="V10" s="662"/>
      <c r="W10" s="670"/>
      <c r="X10" s="42" t="s">
        <v>31</v>
      </c>
      <c r="Y10" s="43"/>
      <c r="Z10" s="34">
        <v>1818692</v>
      </c>
      <c r="AA10" s="35">
        <v>1899854</v>
      </c>
      <c r="AB10" s="36">
        <v>1987443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314</v>
      </c>
      <c r="H11" s="59" t="s">
        <v>30</v>
      </c>
      <c r="I11" s="60">
        <v>314</v>
      </c>
      <c r="J11" s="61" t="s">
        <v>12</v>
      </c>
      <c r="K11" s="62">
        <v>314</v>
      </c>
      <c r="L11" s="63" t="s">
        <v>30</v>
      </c>
      <c r="M11" s="58">
        <v>314</v>
      </c>
      <c r="N11" s="61" t="s">
        <v>12</v>
      </c>
      <c r="O11" s="62">
        <v>314</v>
      </c>
      <c r="P11" s="63" t="s">
        <v>30</v>
      </c>
      <c r="Q11" s="58">
        <v>314</v>
      </c>
      <c r="R11" s="33" t="s">
        <v>12</v>
      </c>
      <c r="S11" s="54"/>
      <c r="T11" s="630"/>
      <c r="U11" s="671"/>
      <c r="V11" s="662"/>
      <c r="W11" s="670"/>
      <c r="X11" s="42" t="s">
        <v>34</v>
      </c>
      <c r="Y11" s="43"/>
      <c r="Z11" s="34">
        <v>512232</v>
      </c>
      <c r="AA11" s="35">
        <v>503231</v>
      </c>
      <c r="AB11" s="36">
        <v>360627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30</v>
      </c>
      <c r="I12" s="60"/>
      <c r="J12" s="64" t="s">
        <v>12</v>
      </c>
      <c r="K12" s="62"/>
      <c r="L12" s="63" t="s">
        <v>30</v>
      </c>
      <c r="M12" s="58"/>
      <c r="N12" s="61" t="s">
        <v>12</v>
      </c>
      <c r="O12" s="62"/>
      <c r="P12" s="63" t="s">
        <v>30</v>
      </c>
      <c r="Q12" s="58"/>
      <c r="R12" s="33" t="s">
        <v>12</v>
      </c>
      <c r="S12" s="54"/>
      <c r="T12" s="630"/>
      <c r="U12" s="671"/>
      <c r="V12" s="662"/>
      <c r="W12" s="41" t="s">
        <v>36</v>
      </c>
      <c r="X12" s="42"/>
      <c r="Y12" s="43" t="s">
        <v>37</v>
      </c>
      <c r="Z12" s="34">
        <v>2277852</v>
      </c>
      <c r="AA12" s="35">
        <v>1857744</v>
      </c>
      <c r="AB12" s="36">
        <v>1634465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30</v>
      </c>
      <c r="I13" s="60"/>
      <c r="J13" s="64" t="s">
        <v>12</v>
      </c>
      <c r="K13" s="62"/>
      <c r="L13" s="63" t="s">
        <v>30</v>
      </c>
      <c r="M13" s="58"/>
      <c r="N13" s="61" t="s">
        <v>12</v>
      </c>
      <c r="O13" s="62"/>
      <c r="P13" s="63" t="s">
        <v>30</v>
      </c>
      <c r="Q13" s="58"/>
      <c r="R13" s="33" t="s">
        <v>12</v>
      </c>
      <c r="S13" s="54"/>
      <c r="T13" s="630"/>
      <c r="U13" s="671"/>
      <c r="V13" s="647"/>
      <c r="W13" s="66" t="s">
        <v>25</v>
      </c>
      <c r="X13" s="42" t="s">
        <v>39</v>
      </c>
      <c r="Y13" s="43"/>
      <c r="Z13" s="34">
        <v>2177120</v>
      </c>
      <c r="AA13" s="35">
        <v>1751918</v>
      </c>
      <c r="AB13" s="36">
        <v>1541768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>
        <v>60</v>
      </c>
      <c r="H14" s="59" t="s">
        <v>30</v>
      </c>
      <c r="I14" s="60">
        <v>60</v>
      </c>
      <c r="J14" s="64" t="s">
        <v>12</v>
      </c>
      <c r="K14" s="62">
        <v>60</v>
      </c>
      <c r="L14" s="63" t="s">
        <v>30</v>
      </c>
      <c r="M14" s="58">
        <v>60</v>
      </c>
      <c r="N14" s="61" t="s">
        <v>12</v>
      </c>
      <c r="O14" s="62">
        <v>60</v>
      </c>
      <c r="P14" s="63" t="s">
        <v>30</v>
      </c>
      <c r="Q14" s="58">
        <v>60</v>
      </c>
      <c r="R14" s="33" t="s">
        <v>12</v>
      </c>
      <c r="S14" s="54"/>
      <c r="T14" s="630"/>
      <c r="U14" s="672"/>
      <c r="V14" s="41" t="s">
        <v>41</v>
      </c>
      <c r="W14" s="66"/>
      <c r="X14" s="67"/>
      <c r="Y14" s="43" t="s">
        <v>42</v>
      </c>
      <c r="Z14" s="34">
        <v>1069</v>
      </c>
      <c r="AA14" s="35">
        <v>30555</v>
      </c>
      <c r="AB14" s="36">
        <v>6181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>
        <v>6</v>
      </c>
      <c r="H15" s="59" t="s">
        <v>30</v>
      </c>
      <c r="I15" s="60">
        <v>6</v>
      </c>
      <c r="J15" s="61" t="s">
        <v>12</v>
      </c>
      <c r="K15" s="62">
        <v>6</v>
      </c>
      <c r="L15" s="63" t="s">
        <v>30</v>
      </c>
      <c r="M15" s="58">
        <v>6</v>
      </c>
      <c r="N15" s="61" t="s">
        <v>12</v>
      </c>
      <c r="O15" s="62">
        <v>6</v>
      </c>
      <c r="P15" s="63" t="s">
        <v>30</v>
      </c>
      <c r="Q15" s="58">
        <v>6</v>
      </c>
      <c r="R15" s="33" t="s">
        <v>12</v>
      </c>
      <c r="S15" s="54"/>
      <c r="T15" s="630"/>
      <c r="U15" s="69" t="s">
        <v>44</v>
      </c>
      <c r="V15" s="41"/>
      <c r="W15" s="41"/>
      <c r="X15" s="42"/>
      <c r="Y15" s="43" t="s">
        <v>45</v>
      </c>
      <c r="Z15" s="34">
        <f>Z16+Z23</f>
        <v>9461917</v>
      </c>
      <c r="AA15" s="35">
        <f>AA16+AA23</f>
        <v>9981017</v>
      </c>
      <c r="AB15" s="36">
        <f>AB16+AB23</f>
        <v>10304641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39</v>
      </c>
      <c r="H16" s="673"/>
      <c r="I16" s="673"/>
      <c r="J16" s="674"/>
      <c r="K16" s="675">
        <v>39</v>
      </c>
      <c r="L16" s="673"/>
      <c r="M16" s="673"/>
      <c r="N16" s="674"/>
      <c r="O16" s="675">
        <v>39</v>
      </c>
      <c r="P16" s="673"/>
      <c r="Q16" s="673"/>
      <c r="R16" s="676"/>
      <c r="S16" s="71"/>
      <c r="T16" s="630"/>
      <c r="U16" s="621" t="s">
        <v>18</v>
      </c>
      <c r="V16" s="41" t="s">
        <v>47</v>
      </c>
      <c r="W16" s="41"/>
      <c r="X16" s="42"/>
      <c r="Y16" s="43" t="s">
        <v>48</v>
      </c>
      <c r="Z16" s="34">
        <f>Z17+Z21</f>
        <v>9419954</v>
      </c>
      <c r="AA16" s="35">
        <f>AA17+AA21</f>
        <v>9939681</v>
      </c>
      <c r="AB16" s="36">
        <f>AB17+AB21</f>
        <v>10229904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8</v>
      </c>
      <c r="H17" s="677"/>
      <c r="I17" s="677"/>
      <c r="J17" s="678"/>
      <c r="K17" s="679">
        <v>8</v>
      </c>
      <c r="L17" s="677"/>
      <c r="M17" s="677"/>
      <c r="N17" s="678"/>
      <c r="O17" s="679">
        <v>8</v>
      </c>
      <c r="P17" s="677"/>
      <c r="Q17" s="677"/>
      <c r="R17" s="680"/>
      <c r="S17" s="71"/>
      <c r="T17" s="630"/>
      <c r="U17" s="622"/>
      <c r="V17" s="646" t="s">
        <v>18</v>
      </c>
      <c r="W17" s="41" t="s">
        <v>50</v>
      </c>
      <c r="X17" s="42"/>
      <c r="Y17" s="43" t="s">
        <v>51</v>
      </c>
      <c r="Z17" s="34">
        <v>8739802</v>
      </c>
      <c r="AA17" s="35">
        <v>9283494</v>
      </c>
      <c r="AB17" s="36">
        <v>9562910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53</v>
      </c>
      <c r="G18" s="663">
        <v>28343</v>
      </c>
      <c r="H18" s="663"/>
      <c r="I18" s="663"/>
      <c r="J18" s="664"/>
      <c r="K18" s="665">
        <v>28343</v>
      </c>
      <c r="L18" s="663"/>
      <c r="M18" s="663"/>
      <c r="N18" s="664"/>
      <c r="O18" s="665">
        <v>28343</v>
      </c>
      <c r="P18" s="663"/>
      <c r="Q18" s="663"/>
      <c r="R18" s="666"/>
      <c r="S18" s="72"/>
      <c r="T18" s="630"/>
      <c r="U18" s="622"/>
      <c r="V18" s="662"/>
      <c r="W18" s="646" t="s">
        <v>25</v>
      </c>
      <c r="X18" s="42" t="s">
        <v>54</v>
      </c>
      <c r="Y18" s="43"/>
      <c r="Z18" s="34">
        <v>4073977</v>
      </c>
      <c r="AA18" s="35">
        <v>4311162</v>
      </c>
      <c r="AB18" s="36">
        <v>4336182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30</v>
      </c>
      <c r="I19" s="78" t="s">
        <v>57</v>
      </c>
      <c r="J19" s="79" t="s">
        <v>58</v>
      </c>
      <c r="K19" s="80"/>
      <c r="L19" s="77" t="s">
        <v>30</v>
      </c>
      <c r="M19" s="78" t="s">
        <v>57</v>
      </c>
      <c r="N19" s="79" t="s">
        <v>58</v>
      </c>
      <c r="O19" s="80"/>
      <c r="P19" s="77" t="s">
        <v>30</v>
      </c>
      <c r="Q19" s="78" t="s">
        <v>57</v>
      </c>
      <c r="R19" s="81" t="s">
        <v>58</v>
      </c>
      <c r="S19" s="82"/>
      <c r="T19" s="630"/>
      <c r="U19" s="622"/>
      <c r="V19" s="662"/>
      <c r="W19" s="662"/>
      <c r="X19" s="42" t="s">
        <v>59</v>
      </c>
      <c r="Y19" s="43"/>
      <c r="Z19" s="34">
        <v>1768994</v>
      </c>
      <c r="AA19" s="35">
        <v>1928349</v>
      </c>
      <c r="AB19" s="36">
        <v>2040023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401</v>
      </c>
      <c r="H20" s="85" t="s">
        <v>30</v>
      </c>
      <c r="I20" s="86">
        <f>G20/G10*100</f>
        <v>105.52631578947368</v>
      </c>
      <c r="J20" s="87" t="s">
        <v>12</v>
      </c>
      <c r="K20" s="88">
        <v>431</v>
      </c>
      <c r="L20" s="89" t="s">
        <v>30</v>
      </c>
      <c r="M20" s="86">
        <f>K20/K10*100</f>
        <v>113.42105263157896</v>
      </c>
      <c r="N20" s="87" t="s">
        <v>12</v>
      </c>
      <c r="O20" s="88">
        <v>444</v>
      </c>
      <c r="P20" s="89" t="s">
        <v>30</v>
      </c>
      <c r="Q20" s="86">
        <f>O20/O10*100</f>
        <v>116.8421052631579</v>
      </c>
      <c r="R20" s="90" t="s">
        <v>12</v>
      </c>
      <c r="S20" s="71"/>
      <c r="T20" s="630"/>
      <c r="U20" s="622"/>
      <c r="V20" s="662"/>
      <c r="W20" s="647"/>
      <c r="X20" s="42" t="s">
        <v>63</v>
      </c>
      <c r="Y20" s="43"/>
      <c r="Z20" s="34">
        <v>946083</v>
      </c>
      <c r="AA20" s="35">
        <v>931389</v>
      </c>
      <c r="AB20" s="36">
        <v>893862</v>
      </c>
    </row>
    <row r="21" spans="1:28" s="44" customFormat="1" ht="29.25" customHeight="1">
      <c r="A21" s="630"/>
      <c r="B21" s="667" t="s">
        <v>64</v>
      </c>
      <c r="C21" s="42" t="s">
        <v>65</v>
      </c>
      <c r="D21" s="65"/>
      <c r="E21" s="65"/>
      <c r="F21" s="47"/>
      <c r="G21" s="60">
        <v>56</v>
      </c>
      <c r="H21" s="85" t="s">
        <v>30</v>
      </c>
      <c r="I21" s="91">
        <f>G21/G10*100</f>
        <v>14.736842105263156</v>
      </c>
      <c r="J21" s="87" t="s">
        <v>12</v>
      </c>
      <c r="K21" s="88">
        <v>75</v>
      </c>
      <c r="L21" s="89" t="s">
        <v>30</v>
      </c>
      <c r="M21" s="91">
        <f>K21/K10*100</f>
        <v>19.736842105263158</v>
      </c>
      <c r="N21" s="87" t="s">
        <v>12</v>
      </c>
      <c r="O21" s="88">
        <v>73</v>
      </c>
      <c r="P21" s="89" t="s">
        <v>30</v>
      </c>
      <c r="Q21" s="91">
        <f>O21/O10*100</f>
        <v>19.210526315789473</v>
      </c>
      <c r="R21" s="90" t="s">
        <v>12</v>
      </c>
      <c r="S21" s="71"/>
      <c r="T21" s="630"/>
      <c r="U21" s="622"/>
      <c r="V21" s="662"/>
      <c r="W21" s="41" t="s">
        <v>66</v>
      </c>
      <c r="X21" s="42"/>
      <c r="Y21" s="43" t="s">
        <v>67</v>
      </c>
      <c r="Z21" s="34">
        <v>680152</v>
      </c>
      <c r="AA21" s="35">
        <v>656187</v>
      </c>
      <c r="AB21" s="36">
        <v>666994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271</v>
      </c>
      <c r="H22" s="85" t="s">
        <v>30</v>
      </c>
      <c r="I22" s="91">
        <f>G22/G10*100</f>
        <v>71.3157894736842</v>
      </c>
      <c r="J22" s="87" t="s">
        <v>12</v>
      </c>
      <c r="K22" s="88">
        <v>274</v>
      </c>
      <c r="L22" s="89" t="s">
        <v>30</v>
      </c>
      <c r="M22" s="91">
        <f>K22/K10*100</f>
        <v>72.10526315789474</v>
      </c>
      <c r="N22" s="87" t="s">
        <v>12</v>
      </c>
      <c r="O22" s="88">
        <v>273</v>
      </c>
      <c r="P22" s="89" t="s">
        <v>30</v>
      </c>
      <c r="Q22" s="91">
        <f>O22/O10*100</f>
        <v>71.84210526315789</v>
      </c>
      <c r="R22" s="90" t="s">
        <v>12</v>
      </c>
      <c r="S22" s="71"/>
      <c r="T22" s="630"/>
      <c r="U22" s="622"/>
      <c r="V22" s="647"/>
      <c r="W22" s="66" t="s">
        <v>25</v>
      </c>
      <c r="X22" s="42" t="s">
        <v>69</v>
      </c>
      <c r="Y22" s="43"/>
      <c r="Z22" s="34">
        <v>383274</v>
      </c>
      <c r="AA22" s="35">
        <v>366679</v>
      </c>
      <c r="AB22" s="36">
        <v>350103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26</v>
      </c>
      <c r="H23" s="77" t="s">
        <v>30</v>
      </c>
      <c r="I23" s="96">
        <f>G23/G10*100</f>
        <v>6.842105263157896</v>
      </c>
      <c r="J23" s="97" t="s">
        <v>12</v>
      </c>
      <c r="K23" s="98">
        <v>27</v>
      </c>
      <c r="L23" s="99" t="s">
        <v>30</v>
      </c>
      <c r="M23" s="96">
        <f>K23/K10*100</f>
        <v>7.105263157894736</v>
      </c>
      <c r="N23" s="97" t="s">
        <v>12</v>
      </c>
      <c r="O23" s="98">
        <v>31</v>
      </c>
      <c r="P23" s="99" t="s">
        <v>30</v>
      </c>
      <c r="Q23" s="96">
        <f>O23/O10*100</f>
        <v>8.157894736842106</v>
      </c>
      <c r="R23" s="81" t="s">
        <v>12</v>
      </c>
      <c r="S23" s="71"/>
      <c r="T23" s="630"/>
      <c r="U23" s="628"/>
      <c r="V23" s="41" t="s">
        <v>71</v>
      </c>
      <c r="W23" s="41"/>
      <c r="X23" s="42"/>
      <c r="Y23" s="43" t="s">
        <v>72</v>
      </c>
      <c r="Z23" s="34">
        <v>41963</v>
      </c>
      <c r="AA23" s="35">
        <v>41336</v>
      </c>
      <c r="AB23" s="36">
        <v>74737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75</v>
      </c>
      <c r="G24" s="696">
        <f>G30/(G10*366)*100</f>
        <v>73.26718435432844</v>
      </c>
      <c r="H24" s="696"/>
      <c r="I24" s="696"/>
      <c r="J24" s="697"/>
      <c r="K24" s="698">
        <f>K30/(K10*365)*100</f>
        <v>73.77937995674117</v>
      </c>
      <c r="L24" s="696"/>
      <c r="M24" s="696"/>
      <c r="N24" s="697"/>
      <c r="O24" s="698">
        <v>68.7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242156</v>
      </c>
      <c r="AA24" s="179">
        <f>AA7-AA16</f>
        <v>-16208</v>
      </c>
      <c r="AB24" s="180">
        <f>AB7-AB16</f>
        <v>-655661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75</v>
      </c>
      <c r="G25" s="624">
        <v>73.3</v>
      </c>
      <c r="H25" s="624"/>
      <c r="I25" s="624"/>
      <c r="J25" s="625"/>
      <c r="K25" s="626">
        <v>73.8</v>
      </c>
      <c r="L25" s="624"/>
      <c r="M25" s="624"/>
      <c r="N25" s="625"/>
      <c r="O25" s="626">
        <v>68.7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201262</v>
      </c>
      <c r="AA25" s="182">
        <f>AA6-AA15</f>
        <v>-26989</v>
      </c>
      <c r="AB25" s="183">
        <f>AB6-AB15</f>
        <v>-724217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75</v>
      </c>
      <c r="G26" s="624">
        <v>74.4</v>
      </c>
      <c r="H26" s="624"/>
      <c r="I26" s="624"/>
      <c r="J26" s="625"/>
      <c r="K26" s="626">
        <v>75</v>
      </c>
      <c r="L26" s="624"/>
      <c r="M26" s="624"/>
      <c r="N26" s="625"/>
      <c r="O26" s="626">
        <v>69.8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82</v>
      </c>
      <c r="Z26" s="26">
        <v>186000</v>
      </c>
      <c r="AA26" s="27">
        <v>118000</v>
      </c>
      <c r="AB26" s="28">
        <v>427733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10.4</v>
      </c>
      <c r="H27" s="624"/>
      <c r="I27" s="624"/>
      <c r="J27" s="625"/>
      <c r="K27" s="626">
        <v>10.3</v>
      </c>
      <c r="L27" s="624"/>
      <c r="M27" s="624"/>
      <c r="N27" s="625"/>
      <c r="O27" s="626">
        <v>9.6</v>
      </c>
      <c r="P27" s="624"/>
      <c r="Q27" s="624"/>
      <c r="R27" s="627"/>
      <c r="S27" s="71"/>
      <c r="T27" s="630"/>
      <c r="U27" s="621" t="s">
        <v>25</v>
      </c>
      <c r="V27" s="41" t="s">
        <v>85</v>
      </c>
      <c r="W27" s="41"/>
      <c r="X27" s="42"/>
      <c r="Y27" s="43"/>
      <c r="Z27" s="34">
        <v>186000</v>
      </c>
      <c r="AA27" s="35">
        <v>118000</v>
      </c>
      <c r="AB27" s="36">
        <v>299000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279</v>
      </c>
      <c r="H28" s="648"/>
      <c r="I28" s="648"/>
      <c r="J28" s="649"/>
      <c r="K28" s="650">
        <v>280</v>
      </c>
      <c r="L28" s="648"/>
      <c r="M28" s="648"/>
      <c r="N28" s="649"/>
      <c r="O28" s="650">
        <v>261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>
        <v>96337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862</v>
      </c>
      <c r="H29" s="648"/>
      <c r="I29" s="648"/>
      <c r="J29" s="649"/>
      <c r="K29" s="650">
        <v>886</v>
      </c>
      <c r="L29" s="648"/>
      <c r="M29" s="648"/>
      <c r="N29" s="649"/>
      <c r="O29" s="650">
        <v>886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91</v>
      </c>
      <c r="Z29" s="34">
        <v>1209122</v>
      </c>
      <c r="AA29" s="35">
        <v>1071911</v>
      </c>
      <c r="AB29" s="36">
        <v>1529644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101900</v>
      </c>
      <c r="H30" s="656"/>
      <c r="I30" s="656"/>
      <c r="J30" s="657"/>
      <c r="K30" s="658">
        <v>102332</v>
      </c>
      <c r="L30" s="656"/>
      <c r="M30" s="656"/>
      <c r="N30" s="657"/>
      <c r="O30" s="658">
        <v>95238</v>
      </c>
      <c r="P30" s="656"/>
      <c r="Q30" s="656"/>
      <c r="R30" s="659"/>
      <c r="S30" s="71"/>
      <c r="T30" s="630"/>
      <c r="U30" s="621" t="s">
        <v>25</v>
      </c>
      <c r="V30" s="41" t="s">
        <v>93</v>
      </c>
      <c r="W30" s="41"/>
      <c r="X30" s="42"/>
      <c r="Y30" s="43"/>
      <c r="Z30" s="34">
        <v>203754</v>
      </c>
      <c r="AA30" s="35">
        <v>120397</v>
      </c>
      <c r="AB30" s="36">
        <v>535694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210410</v>
      </c>
      <c r="H31" s="656"/>
      <c r="I31" s="656"/>
      <c r="J31" s="657"/>
      <c r="K31" s="658">
        <v>217155</v>
      </c>
      <c r="L31" s="656"/>
      <c r="M31" s="656"/>
      <c r="N31" s="657"/>
      <c r="O31" s="658">
        <v>216291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990368</v>
      </c>
      <c r="AA31" s="35">
        <v>951514</v>
      </c>
      <c r="AB31" s="36">
        <v>993950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75</v>
      </c>
      <c r="G32" s="624">
        <v>206.5</v>
      </c>
      <c r="H32" s="624"/>
      <c r="I32" s="624"/>
      <c r="J32" s="625"/>
      <c r="K32" s="626">
        <v>212.2</v>
      </c>
      <c r="L32" s="624"/>
      <c r="M32" s="624"/>
      <c r="N32" s="625"/>
      <c r="O32" s="626">
        <v>227.1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97</v>
      </c>
      <c r="Z32" s="178">
        <f>Z26-Z29</f>
        <v>-1023122</v>
      </c>
      <c r="AA32" s="179">
        <f>AA26-AA29</f>
        <v>-953911</v>
      </c>
      <c r="AB32" s="180">
        <f>AB26-AB29</f>
        <v>-1101911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16702</v>
      </c>
      <c r="H33" s="656"/>
      <c r="I33" s="656"/>
      <c r="J33" s="657"/>
      <c r="K33" s="658">
        <v>17114</v>
      </c>
      <c r="L33" s="656"/>
      <c r="M33" s="656"/>
      <c r="N33" s="657"/>
      <c r="O33" s="658">
        <v>16679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101</v>
      </c>
      <c r="Z33" s="34">
        <v>1023122</v>
      </c>
      <c r="AA33" s="35">
        <v>953911</v>
      </c>
      <c r="AB33" s="36">
        <v>1101911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3.9</v>
      </c>
      <c r="H34" s="624"/>
      <c r="I34" s="624"/>
      <c r="J34" s="625"/>
      <c r="K34" s="626">
        <v>3.2</v>
      </c>
      <c r="L34" s="624"/>
      <c r="M34" s="624"/>
      <c r="N34" s="625"/>
      <c r="O34" s="626">
        <v>3.1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8.1</v>
      </c>
      <c r="H35" s="624"/>
      <c r="I35" s="624"/>
      <c r="J35" s="625"/>
      <c r="K35" s="626">
        <v>6.9</v>
      </c>
      <c r="L35" s="624"/>
      <c r="M35" s="624"/>
      <c r="N35" s="625"/>
      <c r="O35" s="626">
        <v>7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2983481</v>
      </c>
      <c r="AA35" s="123">
        <v>3035192</v>
      </c>
      <c r="AB35" s="117">
        <v>2218874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257</v>
      </c>
      <c r="H36" s="648"/>
      <c r="I36" s="648"/>
      <c r="J36" s="649"/>
      <c r="K36" s="650">
        <v>233</v>
      </c>
      <c r="L36" s="648"/>
      <c r="M36" s="648"/>
      <c r="N36" s="649"/>
      <c r="O36" s="650">
        <v>239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2689352</v>
      </c>
      <c r="AA36" s="27">
        <v>2255149</v>
      </c>
      <c r="AB36" s="28">
        <v>1998732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75</v>
      </c>
      <c r="G37" s="624">
        <v>64.4</v>
      </c>
      <c r="H37" s="624"/>
      <c r="I37" s="624"/>
      <c r="J37" s="625"/>
      <c r="K37" s="626">
        <v>64.5</v>
      </c>
      <c r="L37" s="624"/>
      <c r="M37" s="624"/>
      <c r="N37" s="625"/>
      <c r="O37" s="626">
        <v>70.2</v>
      </c>
      <c r="P37" s="624"/>
      <c r="Q37" s="624"/>
      <c r="R37" s="627"/>
      <c r="S37" s="128"/>
      <c r="T37" s="129" t="s">
        <v>25</v>
      </c>
      <c r="U37" s="130"/>
      <c r="V37" s="92" t="s">
        <v>109</v>
      </c>
      <c r="W37" s="93"/>
      <c r="X37" s="93"/>
      <c r="Y37" s="105"/>
      <c r="Z37" s="131">
        <v>2689352</v>
      </c>
      <c r="AA37" s="132">
        <v>2255149</v>
      </c>
      <c r="AB37" s="133">
        <v>1998732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47713</v>
      </c>
      <c r="H38" s="648"/>
      <c r="I38" s="648"/>
      <c r="J38" s="649"/>
      <c r="K38" s="650">
        <v>53516</v>
      </c>
      <c r="L38" s="648"/>
      <c r="M38" s="648"/>
      <c r="N38" s="649"/>
      <c r="O38" s="650">
        <v>56889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9741531</v>
      </c>
      <c r="AA38" s="136">
        <v>10140088</v>
      </c>
      <c r="AB38" s="137">
        <v>10955973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8644</v>
      </c>
      <c r="H39" s="648"/>
      <c r="I39" s="648"/>
      <c r="J39" s="649"/>
      <c r="K39" s="650">
        <v>8749</v>
      </c>
      <c r="L39" s="648"/>
      <c r="M39" s="648"/>
      <c r="N39" s="649"/>
      <c r="O39" s="650">
        <v>9189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17945060</v>
      </c>
      <c r="AA39" s="27">
        <v>17117927</v>
      </c>
      <c r="AB39" s="28">
        <v>16723033</v>
      </c>
    </row>
    <row r="40" spans="1:28" s="44" customFormat="1" ht="29.25" customHeight="1">
      <c r="A40" s="633"/>
      <c r="B40" s="139" t="s">
        <v>117</v>
      </c>
      <c r="C40" s="140"/>
      <c r="D40" s="141" t="s">
        <v>118</v>
      </c>
      <c r="E40" s="65"/>
      <c r="F40" s="47"/>
      <c r="G40" s="648">
        <v>22330</v>
      </c>
      <c r="H40" s="648"/>
      <c r="I40" s="648"/>
      <c r="J40" s="649"/>
      <c r="K40" s="650">
        <v>24098</v>
      </c>
      <c r="L40" s="648"/>
      <c r="M40" s="648"/>
      <c r="N40" s="649"/>
      <c r="O40" s="650">
        <v>24646</v>
      </c>
      <c r="P40" s="648"/>
      <c r="Q40" s="648"/>
      <c r="R40" s="651"/>
      <c r="S40" s="71"/>
      <c r="T40" s="630"/>
      <c r="U40" s="630"/>
      <c r="V40" s="621" t="s">
        <v>25</v>
      </c>
      <c r="W40" s="41" t="s">
        <v>119</v>
      </c>
      <c r="X40" s="42"/>
      <c r="Y40" s="43"/>
      <c r="Z40" s="34">
        <v>24331345</v>
      </c>
      <c r="AA40" s="35">
        <v>24251473</v>
      </c>
      <c r="AB40" s="36">
        <v>24498128</v>
      </c>
    </row>
    <row r="41" spans="1:28" s="44" customFormat="1" ht="29.25" customHeight="1">
      <c r="A41" s="633"/>
      <c r="B41" s="142"/>
      <c r="C41" s="143"/>
      <c r="D41" s="144" t="s">
        <v>25</v>
      </c>
      <c r="E41" s="42" t="s">
        <v>120</v>
      </c>
      <c r="F41" s="47"/>
      <c r="G41" s="648">
        <v>1779</v>
      </c>
      <c r="H41" s="648"/>
      <c r="I41" s="648"/>
      <c r="J41" s="649"/>
      <c r="K41" s="650">
        <v>1774</v>
      </c>
      <c r="L41" s="648"/>
      <c r="M41" s="648"/>
      <c r="N41" s="649"/>
      <c r="O41" s="650">
        <v>2055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11283843</v>
      </c>
      <c r="AA41" s="35">
        <v>12031103</v>
      </c>
      <c r="AB41" s="36">
        <v>12716780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30297</v>
      </c>
      <c r="H42" s="648"/>
      <c r="I42" s="648"/>
      <c r="J42" s="649"/>
      <c r="K42" s="650">
        <v>31241</v>
      </c>
      <c r="L42" s="648"/>
      <c r="M42" s="648"/>
      <c r="N42" s="649"/>
      <c r="O42" s="650">
        <v>33078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3798954</v>
      </c>
      <c r="AA42" s="149">
        <v>3788007</v>
      </c>
      <c r="AB42" s="150">
        <v>3227825</v>
      </c>
    </row>
    <row r="43" spans="1:28" s="44" customFormat="1" ht="29.25" customHeight="1">
      <c r="A43" s="633"/>
      <c r="B43" s="146" t="s">
        <v>125</v>
      </c>
      <c r="C43" s="143"/>
      <c r="D43" s="646" t="s">
        <v>25</v>
      </c>
      <c r="E43" s="42" t="s">
        <v>126</v>
      </c>
      <c r="F43" s="47"/>
      <c r="G43" s="648">
        <v>13045</v>
      </c>
      <c r="H43" s="648"/>
      <c r="I43" s="648"/>
      <c r="J43" s="649"/>
      <c r="K43" s="650">
        <v>13494</v>
      </c>
      <c r="L43" s="648"/>
      <c r="M43" s="648"/>
      <c r="N43" s="649"/>
      <c r="O43" s="650">
        <v>13919</v>
      </c>
      <c r="P43" s="648"/>
      <c r="Q43" s="648"/>
      <c r="R43" s="651"/>
      <c r="S43" s="71"/>
      <c r="T43" s="630"/>
      <c r="U43" s="630"/>
      <c r="V43" s="621" t="s">
        <v>25</v>
      </c>
      <c r="W43" s="41" t="s">
        <v>127</v>
      </c>
      <c r="X43" s="42"/>
      <c r="Y43" s="43"/>
      <c r="Z43" s="34">
        <v>844570</v>
      </c>
      <c r="AA43" s="35">
        <v>1038176</v>
      </c>
      <c r="AB43" s="36">
        <v>940906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2762</v>
      </c>
      <c r="H44" s="648"/>
      <c r="I44" s="648"/>
      <c r="J44" s="649"/>
      <c r="K44" s="650">
        <v>2749</v>
      </c>
      <c r="L44" s="648"/>
      <c r="M44" s="648"/>
      <c r="N44" s="649"/>
      <c r="O44" s="650">
        <v>2925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2035279</v>
      </c>
      <c r="AA44" s="154">
        <v>1703234</v>
      </c>
      <c r="AB44" s="155">
        <v>1292959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644</v>
      </c>
      <c r="H45" s="648"/>
      <c r="I45" s="648"/>
      <c r="J45" s="649"/>
      <c r="K45" s="652">
        <v>-84</v>
      </c>
      <c r="L45" s="653"/>
      <c r="M45" s="653"/>
      <c r="N45" s="655"/>
      <c r="O45" s="652">
        <v>-2325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>
        <v>56752</v>
      </c>
      <c r="AA45" s="35">
        <v>61377</v>
      </c>
      <c r="AB45" s="36">
        <v>65303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10</v>
      </c>
      <c r="H46" s="648"/>
      <c r="I46" s="648"/>
      <c r="J46" s="649"/>
      <c r="K46" s="650">
        <v>11</v>
      </c>
      <c r="L46" s="648"/>
      <c r="M46" s="648"/>
      <c r="N46" s="649"/>
      <c r="O46" s="650">
        <v>11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665865</v>
      </c>
      <c r="AA46" s="149">
        <v>580132</v>
      </c>
      <c r="AB46" s="150">
        <v>500911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53945</v>
      </c>
      <c r="H47" s="648"/>
      <c r="I47" s="648"/>
      <c r="J47" s="649"/>
      <c r="K47" s="650">
        <v>59085</v>
      </c>
      <c r="L47" s="648"/>
      <c r="M47" s="648"/>
      <c r="N47" s="649"/>
      <c r="O47" s="650">
        <v>58163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22409879</v>
      </c>
      <c r="AA47" s="136">
        <f>AA39+AA42+AA46</f>
        <v>21486066</v>
      </c>
      <c r="AB47" s="137">
        <f>AB39+AB42+AB46</f>
        <v>20451769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63848</v>
      </c>
      <c r="H48" s="700"/>
      <c r="I48" s="700"/>
      <c r="J48" s="701"/>
      <c r="K48" s="702">
        <v>68006</v>
      </c>
      <c r="L48" s="700"/>
      <c r="M48" s="700"/>
      <c r="N48" s="701"/>
      <c r="O48" s="702">
        <v>70053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>
        <v>0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43.2</v>
      </c>
      <c r="H49" s="635"/>
      <c r="I49" s="635"/>
      <c r="J49" s="636"/>
      <c r="K49" s="637">
        <v>43.4</v>
      </c>
      <c r="L49" s="635"/>
      <c r="M49" s="635"/>
      <c r="N49" s="636"/>
      <c r="O49" s="637">
        <v>42.4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815473</v>
      </c>
      <c r="AA49" s="35">
        <v>752815</v>
      </c>
      <c r="AB49" s="36">
        <v>1008951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4.1</v>
      </c>
      <c r="H50" s="624"/>
      <c r="I50" s="624"/>
      <c r="J50" s="625"/>
      <c r="K50" s="626">
        <v>3.7</v>
      </c>
      <c r="L50" s="624"/>
      <c r="M50" s="624"/>
      <c r="N50" s="625"/>
      <c r="O50" s="626">
        <v>3.4</v>
      </c>
      <c r="P50" s="624"/>
      <c r="Q50" s="624"/>
      <c r="R50" s="627"/>
      <c r="S50" s="71"/>
      <c r="T50" s="630"/>
      <c r="U50" s="630"/>
      <c r="V50" s="621" t="s">
        <v>25</v>
      </c>
      <c r="W50" s="41" t="s">
        <v>146</v>
      </c>
      <c r="X50" s="42"/>
      <c r="Y50" s="43"/>
      <c r="Z50" s="34"/>
      <c r="AA50" s="35"/>
      <c r="AB50" s="36">
        <v>0</v>
      </c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10</v>
      </c>
      <c r="H51" s="624"/>
      <c r="I51" s="624"/>
      <c r="J51" s="625"/>
      <c r="K51" s="626">
        <v>9.4</v>
      </c>
      <c r="L51" s="624"/>
      <c r="M51" s="624"/>
      <c r="N51" s="625"/>
      <c r="O51" s="626">
        <v>8.7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775925</v>
      </c>
      <c r="AA51" s="132">
        <v>698832</v>
      </c>
      <c r="AB51" s="133">
        <v>959387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18.8</v>
      </c>
      <c r="H52" s="624"/>
      <c r="I52" s="624"/>
      <c r="J52" s="625"/>
      <c r="K52" s="626">
        <v>19.4</v>
      </c>
      <c r="L52" s="624"/>
      <c r="M52" s="624"/>
      <c r="N52" s="625"/>
      <c r="O52" s="626">
        <v>19.9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815473</v>
      </c>
      <c r="AA52" s="169">
        <f>AA48+AA49</f>
        <v>752815</v>
      </c>
      <c r="AB52" s="170">
        <f>AB48+AB49</f>
        <v>1008951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23.9</v>
      </c>
      <c r="H53" s="639"/>
      <c r="I53" s="639"/>
      <c r="J53" s="640"/>
      <c r="K53" s="641">
        <v>24.2</v>
      </c>
      <c r="L53" s="639"/>
      <c r="M53" s="639"/>
      <c r="N53" s="640"/>
      <c r="O53" s="641">
        <v>25.5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22669973</v>
      </c>
      <c r="AA53" s="27">
        <v>21836460</v>
      </c>
      <c r="AB53" s="28">
        <v>21237847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7</v>
      </c>
      <c r="H54" s="635"/>
      <c r="I54" s="635"/>
      <c r="J54" s="636"/>
      <c r="K54" s="637">
        <v>7.2</v>
      </c>
      <c r="L54" s="635"/>
      <c r="M54" s="635"/>
      <c r="N54" s="636"/>
      <c r="O54" s="637">
        <v>4.6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2643007</v>
      </c>
      <c r="AA54" s="35">
        <v>2643007</v>
      </c>
      <c r="AB54" s="36">
        <v>2739345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465.9</v>
      </c>
      <c r="H55" s="624"/>
      <c r="I55" s="624"/>
      <c r="J55" s="625"/>
      <c r="K55" s="626">
        <v>503.2</v>
      </c>
      <c r="L55" s="624"/>
      <c r="M55" s="624"/>
      <c r="N55" s="625"/>
      <c r="O55" s="626">
        <v>319.9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20026966</v>
      </c>
      <c r="AA55" s="35">
        <v>19193453</v>
      </c>
      <c r="AB55" s="36">
        <v>18498502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102.6</v>
      </c>
      <c r="H56" s="624"/>
      <c r="I56" s="624"/>
      <c r="J56" s="625"/>
      <c r="K56" s="626">
        <v>99.8</v>
      </c>
      <c r="L56" s="624"/>
      <c r="M56" s="624"/>
      <c r="N56" s="625"/>
      <c r="O56" s="626">
        <v>93.6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>
        <v>0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84.5</v>
      </c>
      <c r="H57" s="624"/>
      <c r="I57" s="624"/>
      <c r="J57" s="625"/>
      <c r="K57" s="626">
        <v>86.9</v>
      </c>
      <c r="L57" s="624"/>
      <c r="M57" s="624"/>
      <c r="N57" s="625"/>
      <c r="O57" s="626">
        <v>83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-1075567</v>
      </c>
      <c r="AA57" s="179">
        <v>-1103209</v>
      </c>
      <c r="AB57" s="180">
        <v>-1795029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16.9</v>
      </c>
      <c r="H58" s="624"/>
      <c r="I58" s="624"/>
      <c r="J58" s="625"/>
      <c r="K58" s="626">
        <v>15.8</v>
      </c>
      <c r="L58" s="624"/>
      <c r="M58" s="624"/>
      <c r="N58" s="625"/>
      <c r="O58" s="626">
        <v>25.2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175235</v>
      </c>
      <c r="AA58" s="35">
        <v>174582</v>
      </c>
      <c r="AB58" s="36">
        <v>206979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>
        <v>0</v>
      </c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>
        <v>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13.4</v>
      </c>
      <c r="H60" s="624"/>
      <c r="I60" s="624"/>
      <c r="J60" s="625"/>
      <c r="K60" s="626">
        <v>11.8</v>
      </c>
      <c r="L60" s="624"/>
      <c r="M60" s="624"/>
      <c r="N60" s="625"/>
      <c r="O60" s="626">
        <v>12.5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-1250802</v>
      </c>
      <c r="AA60" s="182">
        <v>-1277791</v>
      </c>
      <c r="AB60" s="183">
        <v>-2002008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5.2</v>
      </c>
      <c r="H61" s="624"/>
      <c r="I61" s="624"/>
      <c r="J61" s="625"/>
      <c r="K61" s="626">
        <v>4.5</v>
      </c>
      <c r="L61" s="624"/>
      <c r="M61" s="624"/>
      <c r="N61" s="625"/>
      <c r="O61" s="626">
        <v>4.4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21594406</v>
      </c>
      <c r="AA61" s="169">
        <f>AA53+AA57</f>
        <v>20733251</v>
      </c>
      <c r="AB61" s="170">
        <f>AB53+AB57</f>
        <v>19442818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18.6</v>
      </c>
      <c r="H62" s="624"/>
      <c r="I62" s="624"/>
      <c r="J62" s="625"/>
      <c r="K62" s="626">
        <v>16.3</v>
      </c>
      <c r="L62" s="624"/>
      <c r="M62" s="624"/>
      <c r="N62" s="625"/>
      <c r="O62" s="626">
        <v>16.9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55.2</v>
      </c>
      <c r="H63" s="624"/>
      <c r="I63" s="624"/>
      <c r="J63" s="625"/>
      <c r="K63" s="626">
        <v>53.5</v>
      </c>
      <c r="L63" s="624"/>
      <c r="M63" s="624"/>
      <c r="N63" s="625"/>
      <c r="O63" s="626">
        <v>54.6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23.9</v>
      </c>
      <c r="H64" s="639"/>
      <c r="I64" s="639"/>
      <c r="J64" s="640"/>
      <c r="K64" s="641">
        <v>23.9</v>
      </c>
      <c r="L64" s="639"/>
      <c r="M64" s="639"/>
      <c r="N64" s="640"/>
      <c r="O64" s="641">
        <v>25.7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29" width="9.875" style="1" bestFit="1" customWidth="1"/>
    <col min="30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428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13">
        <v>17886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13">
        <v>24563</v>
      </c>
      <c r="H6" s="713"/>
      <c r="I6" s="713"/>
      <c r="J6" s="713"/>
      <c r="K6" s="713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366">
        <f>Z7+Z14</f>
        <v>756042</v>
      </c>
      <c r="AA6" s="367">
        <f>AA7+AA14</f>
        <v>718081</v>
      </c>
      <c r="AB6" s="368">
        <f>AB7+AB14</f>
        <v>689521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16" t="s">
        <v>393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100">
        <f>Z8+Z12</f>
        <v>756042</v>
      </c>
      <c r="AA7" s="101">
        <f>AA8+AA12</f>
        <v>718081</v>
      </c>
      <c r="AB7" s="102">
        <f>AB8+AB12</f>
        <v>689521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44" t="s">
        <v>394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6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100">
        <v>744332</v>
      </c>
      <c r="AA8" s="101">
        <v>704873</v>
      </c>
      <c r="AB8" s="102">
        <v>679388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6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100">
        <v>369640</v>
      </c>
      <c r="AA9" s="101">
        <v>339905</v>
      </c>
      <c r="AB9" s="102">
        <v>318388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369">
        <f>SUM(G11:G15)</f>
        <v>70</v>
      </c>
      <c r="H10" s="370" t="s">
        <v>181</v>
      </c>
      <c r="I10" s="371">
        <f>SUM(I11:I15)</f>
        <v>70</v>
      </c>
      <c r="J10" s="372" t="s">
        <v>173</v>
      </c>
      <c r="K10" s="373">
        <f>SUM(K11:K15)</f>
        <v>70</v>
      </c>
      <c r="L10" s="370" t="s">
        <v>181</v>
      </c>
      <c r="M10" s="371">
        <f>SUM(M11:M15)</f>
        <v>70</v>
      </c>
      <c r="N10" s="372" t="s">
        <v>173</v>
      </c>
      <c r="O10" s="50">
        <v>70</v>
      </c>
      <c r="P10" s="53" t="s">
        <v>181</v>
      </c>
      <c r="Q10" s="48">
        <v>70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100">
        <v>266084</v>
      </c>
      <c r="AA10" s="101">
        <v>267587</v>
      </c>
      <c r="AB10" s="102">
        <v>263047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374">
        <v>52</v>
      </c>
      <c r="H11" s="375" t="s">
        <v>181</v>
      </c>
      <c r="I11" s="376">
        <v>52</v>
      </c>
      <c r="J11" s="377" t="s">
        <v>173</v>
      </c>
      <c r="K11" s="378">
        <v>52</v>
      </c>
      <c r="L11" s="375" t="s">
        <v>181</v>
      </c>
      <c r="M11" s="376">
        <v>52</v>
      </c>
      <c r="N11" s="377" t="s">
        <v>173</v>
      </c>
      <c r="O11" s="60">
        <v>52</v>
      </c>
      <c r="P11" s="63" t="s">
        <v>181</v>
      </c>
      <c r="Q11" s="58">
        <v>52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100">
        <v>10000</v>
      </c>
      <c r="AA11" s="101">
        <v>10000</v>
      </c>
      <c r="AB11" s="102">
        <v>10000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374">
        <v>18</v>
      </c>
      <c r="H12" s="375" t="s">
        <v>181</v>
      </c>
      <c r="I12" s="376">
        <v>18</v>
      </c>
      <c r="J12" s="377" t="s">
        <v>173</v>
      </c>
      <c r="K12" s="378">
        <v>18</v>
      </c>
      <c r="L12" s="375" t="s">
        <v>181</v>
      </c>
      <c r="M12" s="376">
        <v>18</v>
      </c>
      <c r="N12" s="377" t="s">
        <v>173</v>
      </c>
      <c r="O12" s="60">
        <v>18</v>
      </c>
      <c r="P12" s="63" t="s">
        <v>181</v>
      </c>
      <c r="Q12" s="58">
        <v>18</v>
      </c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100">
        <v>11710</v>
      </c>
      <c r="AA12" s="101">
        <v>13208</v>
      </c>
      <c r="AB12" s="102">
        <v>10133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374"/>
      <c r="H13" s="375" t="s">
        <v>181</v>
      </c>
      <c r="I13" s="376">
        <v>0</v>
      </c>
      <c r="J13" s="377" t="s">
        <v>173</v>
      </c>
      <c r="K13" s="378">
        <v>0</v>
      </c>
      <c r="L13" s="375" t="s">
        <v>181</v>
      </c>
      <c r="M13" s="376">
        <v>0</v>
      </c>
      <c r="N13" s="377" t="s">
        <v>173</v>
      </c>
      <c r="O13" s="60"/>
      <c r="P13" s="63" t="s">
        <v>181</v>
      </c>
      <c r="Q13" s="58">
        <v>0</v>
      </c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100">
        <v>800</v>
      </c>
      <c r="AA13" s="101">
        <v>800</v>
      </c>
      <c r="AB13" s="102">
        <v>800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374"/>
      <c r="H14" s="375" t="s">
        <v>181</v>
      </c>
      <c r="I14" s="376">
        <v>0</v>
      </c>
      <c r="J14" s="377" t="s">
        <v>173</v>
      </c>
      <c r="K14" s="378">
        <v>0</v>
      </c>
      <c r="L14" s="375" t="s">
        <v>181</v>
      </c>
      <c r="M14" s="376">
        <v>0</v>
      </c>
      <c r="N14" s="377" t="s">
        <v>173</v>
      </c>
      <c r="O14" s="60"/>
      <c r="P14" s="63" t="s">
        <v>181</v>
      </c>
      <c r="Q14" s="58">
        <v>0</v>
      </c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100">
        <v>0</v>
      </c>
      <c r="AA14" s="101">
        <v>0</v>
      </c>
      <c r="AB14" s="102">
        <v>0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374"/>
      <c r="H15" s="375" t="s">
        <v>181</v>
      </c>
      <c r="I15" s="376">
        <v>0</v>
      </c>
      <c r="J15" s="377" t="s">
        <v>173</v>
      </c>
      <c r="K15" s="378">
        <v>0</v>
      </c>
      <c r="L15" s="375" t="s">
        <v>181</v>
      </c>
      <c r="M15" s="376">
        <v>0</v>
      </c>
      <c r="N15" s="377" t="s">
        <v>173</v>
      </c>
      <c r="O15" s="60"/>
      <c r="P15" s="63" t="s">
        <v>181</v>
      </c>
      <c r="Q15" s="58">
        <v>0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100">
        <f>Z16+Z23</f>
        <v>712880</v>
      </c>
      <c r="AA15" s="101">
        <f>AA16+AA23</f>
        <v>713772</v>
      </c>
      <c r="AB15" s="102">
        <f>AB16+AB23</f>
        <v>706223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836">
        <v>20</v>
      </c>
      <c r="H16" s="837"/>
      <c r="I16" s="837"/>
      <c r="J16" s="838"/>
      <c r="K16" s="839">
        <v>20</v>
      </c>
      <c r="L16" s="837"/>
      <c r="M16" s="837"/>
      <c r="N16" s="838"/>
      <c r="O16" s="673">
        <v>20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100">
        <f>Z17+Z21</f>
        <v>712880</v>
      </c>
      <c r="AA16" s="101">
        <f>AA17+AA21</f>
        <v>713772</v>
      </c>
      <c r="AB16" s="102">
        <f>AB17+AB21</f>
        <v>706223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840">
        <v>2</v>
      </c>
      <c r="H17" s="841"/>
      <c r="I17" s="841"/>
      <c r="J17" s="842"/>
      <c r="K17" s="843">
        <v>2</v>
      </c>
      <c r="L17" s="841"/>
      <c r="M17" s="841"/>
      <c r="N17" s="842"/>
      <c r="O17" s="677">
        <v>2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100">
        <v>698609</v>
      </c>
      <c r="AA17" s="101">
        <v>699471</v>
      </c>
      <c r="AB17" s="102">
        <v>692966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832">
        <v>3468</v>
      </c>
      <c r="H18" s="833"/>
      <c r="I18" s="833"/>
      <c r="J18" s="834"/>
      <c r="K18" s="835">
        <v>3468</v>
      </c>
      <c r="L18" s="833"/>
      <c r="M18" s="833"/>
      <c r="N18" s="834"/>
      <c r="O18" s="663">
        <v>3468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100">
        <v>392712</v>
      </c>
      <c r="AA18" s="101">
        <v>386643</v>
      </c>
      <c r="AB18" s="102">
        <v>387686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379"/>
      <c r="H19" s="380" t="s">
        <v>181</v>
      </c>
      <c r="I19" s="381" t="s">
        <v>184</v>
      </c>
      <c r="J19" s="382" t="s">
        <v>189</v>
      </c>
      <c r="K19" s="383"/>
      <c r="L19" s="380" t="s">
        <v>181</v>
      </c>
      <c r="M19" s="381" t="s">
        <v>184</v>
      </c>
      <c r="N19" s="382" t="s">
        <v>189</v>
      </c>
      <c r="O19" s="76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100">
        <v>68196</v>
      </c>
      <c r="AA19" s="101">
        <v>64417</v>
      </c>
      <c r="AB19" s="102">
        <v>58953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384">
        <v>43</v>
      </c>
      <c r="H20" s="385" t="s">
        <v>181</v>
      </c>
      <c r="I20" s="386">
        <f>G20/G10*100</f>
        <v>61.42857142857143</v>
      </c>
      <c r="J20" s="387" t="s">
        <v>173</v>
      </c>
      <c r="K20" s="378">
        <v>42</v>
      </c>
      <c r="L20" s="385" t="s">
        <v>181</v>
      </c>
      <c r="M20" s="388">
        <f>K20/K10*100</f>
        <v>60</v>
      </c>
      <c r="N20" s="389" t="s">
        <v>173</v>
      </c>
      <c r="O20" s="390">
        <v>42</v>
      </c>
      <c r="P20" s="89" t="s">
        <v>181</v>
      </c>
      <c r="Q20" s="91">
        <f>O20/O10*100</f>
        <v>60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100">
        <v>21683</v>
      </c>
      <c r="AA20" s="101">
        <v>18986</v>
      </c>
      <c r="AB20" s="102">
        <v>24039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384">
        <v>6</v>
      </c>
      <c r="H21" s="385" t="s">
        <v>181</v>
      </c>
      <c r="I21" s="391">
        <f>G21/G10*100</f>
        <v>8.571428571428571</v>
      </c>
      <c r="J21" s="387" t="s">
        <v>173</v>
      </c>
      <c r="K21" s="378">
        <v>6</v>
      </c>
      <c r="L21" s="385" t="s">
        <v>181</v>
      </c>
      <c r="M21" s="391">
        <f>K21/K10*100</f>
        <v>8.571428571428571</v>
      </c>
      <c r="N21" s="389" t="s">
        <v>173</v>
      </c>
      <c r="O21" s="390">
        <v>6</v>
      </c>
      <c r="P21" s="89" t="s">
        <v>181</v>
      </c>
      <c r="Q21" s="91">
        <f>O21/O10*100</f>
        <v>8.571428571428571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100">
        <v>14271</v>
      </c>
      <c r="AA21" s="101">
        <v>14301</v>
      </c>
      <c r="AB21" s="102">
        <v>13257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384">
        <v>24</v>
      </c>
      <c r="H22" s="385" t="s">
        <v>181</v>
      </c>
      <c r="I22" s="391">
        <f>G22/G10*100</f>
        <v>34.285714285714285</v>
      </c>
      <c r="J22" s="387" t="s">
        <v>173</v>
      </c>
      <c r="K22" s="378">
        <v>23</v>
      </c>
      <c r="L22" s="385" t="s">
        <v>181</v>
      </c>
      <c r="M22" s="391">
        <f>K22/K10*100</f>
        <v>32.857142857142854</v>
      </c>
      <c r="N22" s="389" t="s">
        <v>173</v>
      </c>
      <c r="O22" s="390">
        <v>23</v>
      </c>
      <c r="P22" s="89" t="s">
        <v>181</v>
      </c>
      <c r="Q22" s="91">
        <f>O22/O10*100</f>
        <v>32.857142857142854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100">
        <v>491</v>
      </c>
      <c r="AA22" s="101">
        <v>439</v>
      </c>
      <c r="AB22" s="102">
        <v>390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392">
        <v>3</v>
      </c>
      <c r="H23" s="380" t="s">
        <v>181</v>
      </c>
      <c r="I23" s="393">
        <f>G23/G10*100</f>
        <v>4.285714285714286</v>
      </c>
      <c r="J23" s="394" t="s">
        <v>173</v>
      </c>
      <c r="K23" s="395">
        <v>3</v>
      </c>
      <c r="L23" s="380" t="s">
        <v>181</v>
      </c>
      <c r="M23" s="393">
        <f>K23/K10*100</f>
        <v>4.285714285714286</v>
      </c>
      <c r="N23" s="382" t="s">
        <v>173</v>
      </c>
      <c r="O23" s="396">
        <v>3</v>
      </c>
      <c r="P23" s="99" t="s">
        <v>181</v>
      </c>
      <c r="Q23" s="96">
        <f>O23/O10*100</f>
        <v>4.285714285714286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100">
        <v>0</v>
      </c>
      <c r="AA23" s="101">
        <v>0</v>
      </c>
      <c r="AB23" s="102">
        <v>0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847">
        <f>G30/(G10*366)*100</f>
        <v>65.40593286494925</v>
      </c>
      <c r="H24" s="847"/>
      <c r="I24" s="847"/>
      <c r="J24" s="727"/>
      <c r="K24" s="739">
        <f>K30/(K10*365)*100</f>
        <v>58.3091976516634</v>
      </c>
      <c r="L24" s="740"/>
      <c r="M24" s="740"/>
      <c r="N24" s="848"/>
      <c r="O24" s="696">
        <f>O30/(O10*365)*100</f>
        <v>56.86497064579257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43162</v>
      </c>
      <c r="AA24" s="101">
        <f>AA7-AA16</f>
        <v>4309</v>
      </c>
      <c r="AB24" s="180">
        <f>AB7-AB16</f>
        <v>-16702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831">
        <f>G30/(I10*366)*100</f>
        <v>65.40593286494925</v>
      </c>
      <c r="H25" s="831"/>
      <c r="I25" s="831"/>
      <c r="J25" s="724"/>
      <c r="K25" s="724">
        <f>K30/(M10*365)*100</f>
        <v>58.3091976516634</v>
      </c>
      <c r="L25" s="725"/>
      <c r="M25" s="725"/>
      <c r="N25" s="824"/>
      <c r="O25" s="624">
        <f>O30/(Q10*365)*100</f>
        <v>56.86497064579257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43162</v>
      </c>
      <c r="AA25" s="107">
        <f>AA6-AA15</f>
        <v>4309</v>
      </c>
      <c r="AB25" s="183">
        <f>AB6-AB15</f>
        <v>-16702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831">
        <f>G30/((I10-I15)*366)*100</f>
        <v>65.40593286494925</v>
      </c>
      <c r="H26" s="831"/>
      <c r="I26" s="831"/>
      <c r="J26" s="724"/>
      <c r="K26" s="724">
        <f>K30/((M10-M15)*365)*100</f>
        <v>58.3091976516634</v>
      </c>
      <c r="L26" s="725"/>
      <c r="M26" s="725"/>
      <c r="N26" s="824"/>
      <c r="O26" s="624">
        <f>O30/((Q10-Q15)*365)*100</f>
        <v>56.86497064579257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366">
        <v>455</v>
      </c>
      <c r="AA26" s="367">
        <v>6790</v>
      </c>
      <c r="AB26" s="368">
        <v>26825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831">
        <v>19.4</v>
      </c>
      <c r="H27" s="831"/>
      <c r="I27" s="831"/>
      <c r="J27" s="724"/>
      <c r="K27" s="724">
        <v>19.4</v>
      </c>
      <c r="L27" s="725"/>
      <c r="M27" s="725"/>
      <c r="N27" s="824"/>
      <c r="O27" s="624">
        <v>21.2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100">
        <v>0</v>
      </c>
      <c r="AA27" s="101">
        <v>0</v>
      </c>
      <c r="AB27" s="102">
        <v>20000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827">
        <f>G30/366</f>
        <v>45.78415300546448</v>
      </c>
      <c r="H28" s="827"/>
      <c r="I28" s="827"/>
      <c r="J28" s="733"/>
      <c r="K28" s="733">
        <f>K30/365</f>
        <v>40.81643835616438</v>
      </c>
      <c r="L28" s="734"/>
      <c r="M28" s="734"/>
      <c r="N28" s="828"/>
      <c r="O28" s="648">
        <f>O30/365</f>
        <v>39.8054794520548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100">
        <v>0</v>
      </c>
      <c r="AA28" s="101">
        <v>0</v>
      </c>
      <c r="AB28" s="102">
        <v>0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827">
        <f>G31/296</f>
        <v>157.76351351351352</v>
      </c>
      <c r="H29" s="827"/>
      <c r="I29" s="827"/>
      <c r="J29" s="733"/>
      <c r="K29" s="733">
        <f>K31/293</f>
        <v>150.3071672354949</v>
      </c>
      <c r="L29" s="734"/>
      <c r="M29" s="734"/>
      <c r="N29" s="828"/>
      <c r="O29" s="648">
        <f>O31/293</f>
        <v>146.22525597269623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100">
        <f>SUM(Z30:Z31)</f>
        <v>13846</v>
      </c>
      <c r="AA29" s="101">
        <f>SUM(AA30:AA31)</f>
        <v>39231</v>
      </c>
      <c r="AB29" s="102">
        <f>SUM(AB30:AB31)</f>
        <v>50640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829">
        <v>16757</v>
      </c>
      <c r="H30" s="829"/>
      <c r="I30" s="829"/>
      <c r="J30" s="736"/>
      <c r="K30" s="736">
        <v>14898</v>
      </c>
      <c r="L30" s="737"/>
      <c r="M30" s="737"/>
      <c r="N30" s="830"/>
      <c r="O30" s="656">
        <v>14529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100">
        <v>6921</v>
      </c>
      <c r="AA30" s="101">
        <v>32254</v>
      </c>
      <c r="AB30" s="102">
        <v>45747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829">
        <v>46698</v>
      </c>
      <c r="H31" s="829"/>
      <c r="I31" s="829"/>
      <c r="J31" s="736"/>
      <c r="K31" s="736">
        <v>44040</v>
      </c>
      <c r="L31" s="737"/>
      <c r="M31" s="737"/>
      <c r="N31" s="830"/>
      <c r="O31" s="656">
        <v>42844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100">
        <v>6925</v>
      </c>
      <c r="AA31" s="101">
        <v>6977</v>
      </c>
      <c r="AB31" s="102">
        <v>4893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831">
        <f>(G31/G30)*100</f>
        <v>278.6775675836964</v>
      </c>
      <c r="H32" s="831"/>
      <c r="I32" s="831"/>
      <c r="J32" s="724"/>
      <c r="K32" s="724">
        <f>(K31/K30)*100</f>
        <v>295.61014901329037</v>
      </c>
      <c r="L32" s="725"/>
      <c r="M32" s="725"/>
      <c r="N32" s="824"/>
      <c r="O32" s="624">
        <f>(O31/O30)*100</f>
        <v>294.88608988918713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-13391</v>
      </c>
      <c r="AA32" s="179">
        <f>AA26-AA29</f>
        <v>-32441</v>
      </c>
      <c r="AB32" s="180">
        <f>AB26-AB29</f>
        <v>-23815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829">
        <f>(Z9+Z10)/G20</f>
        <v>14784.279069767443</v>
      </c>
      <c r="H33" s="829"/>
      <c r="I33" s="829"/>
      <c r="J33" s="736"/>
      <c r="K33" s="736">
        <f>(AA9+AA10)/K20</f>
        <v>14464.095238095239</v>
      </c>
      <c r="L33" s="737"/>
      <c r="M33" s="737"/>
      <c r="N33" s="830"/>
      <c r="O33" s="656">
        <f>(AB9+AB10)/O20</f>
        <v>13843.690476190477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100">
        <v>13391</v>
      </c>
      <c r="AA33" s="101">
        <v>32441</v>
      </c>
      <c r="AB33" s="102">
        <v>23815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831">
        <v>6.811</v>
      </c>
      <c r="H34" s="831"/>
      <c r="I34" s="831"/>
      <c r="J34" s="724"/>
      <c r="K34" s="724">
        <v>6.1</v>
      </c>
      <c r="L34" s="725"/>
      <c r="M34" s="725"/>
      <c r="N34" s="824"/>
      <c r="O34" s="624">
        <v>5.96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831">
        <v>18.982</v>
      </c>
      <c r="H35" s="831"/>
      <c r="I35" s="831"/>
      <c r="J35" s="724"/>
      <c r="K35" s="724">
        <v>18.04</v>
      </c>
      <c r="L35" s="725"/>
      <c r="M35" s="725"/>
      <c r="N35" s="824"/>
      <c r="O35" s="624">
        <v>17.59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343170</v>
      </c>
      <c r="AA35" s="123">
        <v>337796</v>
      </c>
      <c r="AB35" s="117">
        <v>325117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827">
        <f>(Z9+Z10)/2460</f>
        <v>258.42439024390245</v>
      </c>
      <c r="H36" s="827"/>
      <c r="I36" s="827"/>
      <c r="J36" s="733"/>
      <c r="K36" s="733">
        <f>(AA9+AA10)/2441</f>
        <v>248.8701351904957</v>
      </c>
      <c r="L36" s="734"/>
      <c r="M36" s="734"/>
      <c r="N36" s="828"/>
      <c r="O36" s="648">
        <f>(AB9+AB10)/2435</f>
        <v>238.78234086242298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366">
        <v>10800</v>
      </c>
      <c r="AA36" s="367">
        <v>10800</v>
      </c>
      <c r="AB36" s="368">
        <v>10800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831">
        <v>109.679</v>
      </c>
      <c r="H37" s="831"/>
      <c r="I37" s="831"/>
      <c r="J37" s="724"/>
      <c r="K37" s="724">
        <v>115.606</v>
      </c>
      <c r="L37" s="725"/>
      <c r="M37" s="725"/>
      <c r="N37" s="824"/>
      <c r="O37" s="624">
        <v>106.92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06">
        <v>10000</v>
      </c>
      <c r="AA37" s="107">
        <v>10000</v>
      </c>
      <c r="AB37" s="108">
        <v>10000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827">
        <f>(Z9/G30)*1000</f>
        <v>22058.841081339142</v>
      </c>
      <c r="H38" s="827"/>
      <c r="I38" s="827"/>
      <c r="J38" s="733"/>
      <c r="K38" s="733">
        <f>(AA9/K30)*1000</f>
        <v>22815.478587729896</v>
      </c>
      <c r="L38" s="734"/>
      <c r="M38" s="734"/>
      <c r="N38" s="828"/>
      <c r="O38" s="648">
        <f>(AB9/O30)*1000</f>
        <v>21913.96517310207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397">
        <v>707286</v>
      </c>
      <c r="AA38" s="398">
        <v>736806</v>
      </c>
      <c r="AB38" s="399">
        <v>734766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827">
        <f>(Z10/G31)*1000</f>
        <v>5697.9742173112345</v>
      </c>
      <c r="H39" s="827"/>
      <c r="I39" s="827"/>
      <c r="J39" s="733"/>
      <c r="K39" s="733">
        <f>(AA10/K31)*1000</f>
        <v>6075.999091734786</v>
      </c>
      <c r="L39" s="734"/>
      <c r="M39" s="734"/>
      <c r="N39" s="828"/>
      <c r="O39" s="648">
        <f>(AB10/O31)*1000</f>
        <v>6139.646158155168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366">
        <v>412557</v>
      </c>
      <c r="AA39" s="367">
        <v>411845</v>
      </c>
      <c r="AB39" s="368">
        <v>417153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827">
        <f>(Z6-(Z11+Z13))/(G30+G31)*1000</f>
        <v>11744.417303600978</v>
      </c>
      <c r="H40" s="827"/>
      <c r="I40" s="827"/>
      <c r="J40" s="733"/>
      <c r="K40" s="733">
        <f>(AA6-(AA11+AA13))/(K30+K31)*1000</f>
        <v>12000.424174556314</v>
      </c>
      <c r="L40" s="734"/>
      <c r="M40" s="734"/>
      <c r="N40" s="828"/>
      <c r="O40" s="648">
        <f>(AB6-(AB11+AB13))/(O30+O31)*1000</f>
        <v>11829.972286615655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100">
        <v>1076102</v>
      </c>
      <c r="AA40" s="101">
        <v>1051884</v>
      </c>
      <c r="AB40" s="102">
        <v>1050429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827">
        <f>31479/(G30+G31)*1000</f>
        <v>496.08383894098176</v>
      </c>
      <c r="H41" s="827"/>
      <c r="I41" s="827"/>
      <c r="J41" s="733"/>
      <c r="K41" s="733">
        <f>27437/(K30+K31)*1000</f>
        <v>465.5230920628457</v>
      </c>
      <c r="L41" s="734"/>
      <c r="M41" s="734"/>
      <c r="N41" s="828"/>
      <c r="O41" s="648">
        <f>24819/(O30+O31)*1000</f>
        <v>432.5902427971345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100">
        <v>679927</v>
      </c>
      <c r="AA41" s="101">
        <v>656421</v>
      </c>
      <c r="AB41" s="102">
        <v>649658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827">
        <f>Z15/(G30+G31)*1000</f>
        <v>11234.418091560949</v>
      </c>
      <c r="H42" s="827"/>
      <c r="I42" s="827"/>
      <c r="J42" s="733"/>
      <c r="K42" s="733">
        <f>AA15/(K30+K31)*1000</f>
        <v>12110.556856357527</v>
      </c>
      <c r="L42" s="734"/>
      <c r="M42" s="734"/>
      <c r="N42" s="828"/>
      <c r="O42" s="648">
        <f>AB15/(O30+O31)*1000</f>
        <v>12309.326686769038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400">
        <v>368656</v>
      </c>
      <c r="AA42" s="401">
        <v>364639</v>
      </c>
      <c r="AB42" s="402">
        <v>353166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827">
        <f>Z18/(G30+G31)*1000</f>
        <v>6188.826727602238</v>
      </c>
      <c r="H43" s="827"/>
      <c r="I43" s="827"/>
      <c r="J43" s="733"/>
      <c r="K43" s="733">
        <f>AA18/(K30+K31)*1000</f>
        <v>6560.164919067494</v>
      </c>
      <c r="L43" s="734"/>
      <c r="M43" s="734"/>
      <c r="N43" s="828"/>
      <c r="O43" s="648">
        <f>AB18/(O30+O31)*1000</f>
        <v>6757.290014466736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100">
        <v>268177</v>
      </c>
      <c r="AA43" s="101">
        <v>263697</v>
      </c>
      <c r="AB43" s="102">
        <v>246564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827">
        <f>31479/(G30+G31)*1000</f>
        <v>496.08383894098176</v>
      </c>
      <c r="H44" s="827"/>
      <c r="I44" s="827"/>
      <c r="J44" s="733"/>
      <c r="K44" s="733">
        <f>23733/(K30+K31)*1000</f>
        <v>402.6773897994503</v>
      </c>
      <c r="L44" s="734"/>
      <c r="M44" s="734"/>
      <c r="N44" s="828"/>
      <c r="O44" s="648">
        <f>23211/(O30+O31)*1000</f>
        <v>404.5631220260401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403">
        <v>96088</v>
      </c>
      <c r="AA44" s="404">
        <v>96500</v>
      </c>
      <c r="AB44" s="405">
        <v>101392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827">
        <f>Z25/(G30+G31)*1000</f>
        <v>680.1985659128517</v>
      </c>
      <c r="H45" s="827"/>
      <c r="I45" s="827"/>
      <c r="J45" s="733"/>
      <c r="K45" s="733">
        <f>AA25/(K30+K31)*1000</f>
        <v>73.11072652618006</v>
      </c>
      <c r="L45" s="734"/>
      <c r="M45" s="734"/>
      <c r="N45" s="828"/>
      <c r="O45" s="653">
        <f>AB25/(O30+O31)*1000</f>
        <v>-291.11254422812124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100">
        <v>4391</v>
      </c>
      <c r="AA45" s="101">
        <v>4442</v>
      </c>
      <c r="AB45" s="102">
        <v>5210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827">
        <f>835/G30*1000</f>
        <v>49.829921823715466</v>
      </c>
      <c r="H46" s="827"/>
      <c r="I46" s="827"/>
      <c r="J46" s="733"/>
      <c r="K46" s="733">
        <f>535/K30*1000</f>
        <v>35.91086051819036</v>
      </c>
      <c r="L46" s="734"/>
      <c r="M46" s="734"/>
      <c r="N46" s="828"/>
      <c r="O46" s="648">
        <f>613/O30*1000</f>
        <v>42.19147911074403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400">
        <v>0</v>
      </c>
      <c r="AA46" s="401">
        <v>0</v>
      </c>
      <c r="AB46" s="402">
        <v>0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827">
        <f>Z8/(G10*366)*1000</f>
        <v>29052.771272443406</v>
      </c>
      <c r="H47" s="827"/>
      <c r="I47" s="827"/>
      <c r="J47" s="733"/>
      <c r="K47" s="733">
        <f>AA8/(K10*365)*1000</f>
        <v>27587.9843444227</v>
      </c>
      <c r="L47" s="734"/>
      <c r="M47" s="734"/>
      <c r="N47" s="828"/>
      <c r="O47" s="648">
        <f>AB8/(O10*365)*1000</f>
        <v>26590.528375733855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397">
        <f>Z39+Z42+Z46</f>
        <v>781213</v>
      </c>
      <c r="AA47" s="398">
        <f>AA39+AA42+AA46</f>
        <v>776484</v>
      </c>
      <c r="AB47" s="399">
        <f>AB39+AB42+AB46</f>
        <v>770319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849">
        <f>Z17/(G10*366)*1000</f>
        <v>27268.110850897734</v>
      </c>
      <c r="H48" s="849"/>
      <c r="I48" s="849"/>
      <c r="J48" s="742"/>
      <c r="K48" s="742">
        <f>AA17/(K10*365)*1000</f>
        <v>27376.555772994132</v>
      </c>
      <c r="L48" s="743"/>
      <c r="M48" s="743"/>
      <c r="N48" s="850"/>
      <c r="O48" s="700">
        <f>AB17/(O10*365)*1000</f>
        <v>27121.956947162427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366">
        <v>38598</v>
      </c>
      <c r="AA48" s="367">
        <v>38598</v>
      </c>
      <c r="AB48" s="368">
        <v>38598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8">
        <f>Z18/Z16*100</f>
        <v>55.088093367747724</v>
      </c>
      <c r="H49" s="728"/>
      <c r="I49" s="728"/>
      <c r="J49" s="728"/>
      <c r="K49" s="727">
        <f>AA18/AA16*100</f>
        <v>54.16897832921437</v>
      </c>
      <c r="L49" s="728"/>
      <c r="M49" s="728"/>
      <c r="N49" s="825"/>
      <c r="O49" s="635">
        <f>AB18/AB16*100</f>
        <v>54.895691587501396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100">
        <v>25486</v>
      </c>
      <c r="AA49" s="101">
        <v>26843</v>
      </c>
      <c r="AB49" s="102">
        <v>28049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5">
        <f>Z22/Z16*100</f>
        <v>0.06887554707664684</v>
      </c>
      <c r="H50" s="725"/>
      <c r="I50" s="725"/>
      <c r="J50" s="725"/>
      <c r="K50" s="724">
        <f>AA22/AA16*100</f>
        <v>0.06150423384498131</v>
      </c>
      <c r="L50" s="725"/>
      <c r="M50" s="725"/>
      <c r="N50" s="824"/>
      <c r="O50" s="624">
        <f>AB22/AB16*100</f>
        <v>0.05522335013161565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100">
        <v>0</v>
      </c>
      <c r="AA50" s="101">
        <v>0</v>
      </c>
      <c r="AB50" s="102">
        <v>0</v>
      </c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5">
        <f>Z20/Z16*100</f>
        <v>3.041605880372573</v>
      </c>
      <c r="H51" s="725"/>
      <c r="I51" s="725"/>
      <c r="J51" s="725"/>
      <c r="K51" s="724">
        <f>AA20/AA16*100</f>
        <v>2.6599530382250913</v>
      </c>
      <c r="L51" s="725"/>
      <c r="M51" s="725"/>
      <c r="N51" s="824"/>
      <c r="O51" s="624">
        <f>AB20/AB16*100</f>
        <v>3.403882343112586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06">
        <v>25486</v>
      </c>
      <c r="AA51" s="107">
        <v>26843</v>
      </c>
      <c r="AB51" s="108">
        <v>28049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5">
        <f>Z19/Z16*100</f>
        <v>9.566266412299406</v>
      </c>
      <c r="H52" s="725"/>
      <c r="I52" s="725"/>
      <c r="J52" s="725"/>
      <c r="K52" s="724">
        <f>AA19/AA16*100</f>
        <v>9.024870686998089</v>
      </c>
      <c r="L52" s="725"/>
      <c r="M52" s="725"/>
      <c r="N52" s="824"/>
      <c r="O52" s="624">
        <f>AB19/AB16*100</f>
        <v>8.347646564895223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22">
        <f>Z48+Z49</f>
        <v>64084</v>
      </c>
      <c r="AA52" s="123">
        <f>AA48+AA49</f>
        <v>65441</v>
      </c>
      <c r="AB52" s="117">
        <f>AB48+AB49</f>
        <v>66647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1">
        <f>100-SUM(G49:J52)</f>
        <v>32.235158792503654</v>
      </c>
      <c r="H53" s="731"/>
      <c r="I53" s="731"/>
      <c r="J53" s="731"/>
      <c r="K53" s="730">
        <f>100-SUM(K49:N52)</f>
        <v>34.08469371171748</v>
      </c>
      <c r="L53" s="731"/>
      <c r="M53" s="731"/>
      <c r="N53" s="826"/>
      <c r="O53" s="639">
        <f>100-SUM(O49:R52)</f>
        <v>33.297556154359185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366">
        <v>369654</v>
      </c>
      <c r="AA53" s="367">
        <v>362677</v>
      </c>
      <c r="AB53" s="368">
        <v>377784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8">
        <f>(Z54+Z57)/Z47*100</f>
        <v>87.48663936724044</v>
      </c>
      <c r="H54" s="728"/>
      <c r="I54" s="728"/>
      <c r="J54" s="728"/>
      <c r="K54" s="727">
        <f>(AA54+AA57)/AA47*100</f>
        <v>88.13420495464169</v>
      </c>
      <c r="L54" s="728"/>
      <c r="M54" s="728"/>
      <c r="N54" s="825"/>
      <c r="O54" s="635">
        <f>(AB54+AB57)/AB47*100</f>
        <v>85.92154678775937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100">
        <v>335982</v>
      </c>
      <c r="AA54" s="101">
        <v>335982</v>
      </c>
      <c r="AB54" s="102">
        <v>335982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5">
        <f>Z42/Z49*100</f>
        <v>1446.5039629600565</v>
      </c>
      <c r="H55" s="725"/>
      <c r="I55" s="725"/>
      <c r="J55" s="725"/>
      <c r="K55" s="724">
        <f>AA42/AA49*100</f>
        <v>1358.4137391498714</v>
      </c>
      <c r="L55" s="725"/>
      <c r="M55" s="725"/>
      <c r="N55" s="824"/>
      <c r="O55" s="624">
        <f>AB42/AB49*100</f>
        <v>1259.1037113622588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100">
        <v>33672</v>
      </c>
      <c r="AA55" s="101">
        <v>26695</v>
      </c>
      <c r="AB55" s="102">
        <v>41802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5">
        <f>(Z8+Z12)/(Z17+Z21)*100</f>
        <v>106.05459544383346</v>
      </c>
      <c r="H56" s="725"/>
      <c r="I56" s="725"/>
      <c r="J56" s="725"/>
      <c r="K56" s="724">
        <f>(AA8+AA12)/(AA17+AA21)*100</f>
        <v>100.603694176852</v>
      </c>
      <c r="L56" s="725"/>
      <c r="M56" s="725"/>
      <c r="N56" s="824"/>
      <c r="O56" s="624">
        <f>(AB8+AB12)/(AB17+AB21)*100</f>
        <v>97.63502463103015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100">
        <v>0</v>
      </c>
      <c r="AA56" s="101">
        <v>0</v>
      </c>
      <c r="AB56" s="102">
        <v>0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5">
        <f>Z8/Z17*100</f>
        <v>106.5448627200623</v>
      </c>
      <c r="H57" s="725"/>
      <c r="I57" s="725"/>
      <c r="J57" s="725"/>
      <c r="K57" s="724">
        <f>AA8/AA17*100</f>
        <v>100.772297922287</v>
      </c>
      <c r="L57" s="725"/>
      <c r="M57" s="725"/>
      <c r="N57" s="824"/>
      <c r="O57" s="624">
        <f>AB8/AB17*100</f>
        <v>98.0405965083424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00">
        <v>347475</v>
      </c>
      <c r="AA57" s="101">
        <v>348366</v>
      </c>
      <c r="AB57" s="102">
        <v>325888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5">
        <v>0</v>
      </c>
      <c r="H58" s="725"/>
      <c r="I58" s="725"/>
      <c r="J58" s="725"/>
      <c r="K58" s="724">
        <v>0</v>
      </c>
      <c r="L58" s="725"/>
      <c r="M58" s="725"/>
      <c r="N58" s="824"/>
      <c r="O58" s="624">
        <v>0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100">
        <v>247112</v>
      </c>
      <c r="AA58" s="101">
        <v>243694</v>
      </c>
      <c r="AB58" s="102">
        <v>237917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5">
        <v>0</v>
      </c>
      <c r="H59" s="725"/>
      <c r="I59" s="725"/>
      <c r="J59" s="725"/>
      <c r="K59" s="724">
        <v>0</v>
      </c>
      <c r="L59" s="725"/>
      <c r="M59" s="725"/>
      <c r="N59" s="824"/>
      <c r="O59" s="624">
        <v>0</v>
      </c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100">
        <v>11300</v>
      </c>
      <c r="AA59" s="101">
        <v>13500</v>
      </c>
      <c r="AB59" s="102">
        <v>13800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5">
        <f>Z31/Z8*100</f>
        <v>0.9303644072806221</v>
      </c>
      <c r="H60" s="725"/>
      <c r="I60" s="725"/>
      <c r="J60" s="725"/>
      <c r="K60" s="724">
        <f>AA31/AA8*100</f>
        <v>0.9898236987372194</v>
      </c>
      <c r="L60" s="725"/>
      <c r="M60" s="725"/>
      <c r="N60" s="824"/>
      <c r="O60" s="624">
        <f>AB31/AB8*100</f>
        <v>0.7202070098382662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>
        <v>89063</v>
      </c>
      <c r="AA60" s="107">
        <v>91172</v>
      </c>
      <c r="AB60" s="108">
        <v>74171</v>
      </c>
    </row>
    <row r="61" spans="1:29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5">
        <f>Z22/Z8*100</f>
        <v>0.06596518757758635</v>
      </c>
      <c r="H61" s="725"/>
      <c r="I61" s="725"/>
      <c r="J61" s="725"/>
      <c r="K61" s="724">
        <f>AA22/AA8*100</f>
        <v>0.06228072291036825</v>
      </c>
      <c r="L61" s="725"/>
      <c r="M61" s="725"/>
      <c r="N61" s="824"/>
      <c r="O61" s="624">
        <f>AB22/AB8*100</f>
        <v>0.057404605321259725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22">
        <f>Z53+Z57</f>
        <v>717129</v>
      </c>
      <c r="AA61" s="123">
        <f>AA53+AA57</f>
        <v>711043</v>
      </c>
      <c r="AB61" s="117">
        <f>AB53+AB57</f>
        <v>703672</v>
      </c>
      <c r="AC61" s="406"/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5">
        <f>(Z31+Z22)/Z8*100</f>
        <v>0.9963295948582085</v>
      </c>
      <c r="H62" s="725"/>
      <c r="I62" s="725"/>
      <c r="J62" s="725"/>
      <c r="K62" s="724">
        <f>(AA31+AA22)/AA8*100</f>
        <v>1.0521044216475877</v>
      </c>
      <c r="L62" s="725"/>
      <c r="M62" s="725"/>
      <c r="N62" s="824"/>
      <c r="O62" s="624">
        <f>(AB31+AB22)/AB8*100</f>
        <v>0.7776116151595259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5">
        <f>Z18/Z8*100</f>
        <v>52.76032738079244</v>
      </c>
      <c r="H63" s="725"/>
      <c r="I63" s="725"/>
      <c r="J63" s="725"/>
      <c r="K63" s="724">
        <f>AA18/AA8*100</f>
        <v>54.85286001875516</v>
      </c>
      <c r="L63" s="725"/>
      <c r="M63" s="725"/>
      <c r="N63" s="824"/>
      <c r="O63" s="624">
        <f>AB18/AB8*100</f>
        <v>57.06400466302025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1">
        <f>67361/Z8*100</f>
        <v>9.049859471311189</v>
      </c>
      <c r="H64" s="731"/>
      <c r="I64" s="731"/>
      <c r="J64" s="731"/>
      <c r="K64" s="730">
        <f>63882/AA8*100</f>
        <v>9.062909204920603</v>
      </c>
      <c r="L64" s="731"/>
      <c r="M64" s="731"/>
      <c r="N64" s="826"/>
      <c r="O64" s="639">
        <f>58340/AB8*100</f>
        <v>8.587140190877673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429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17892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24563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532474</v>
      </c>
      <c r="AA6" s="27">
        <f>AA7+AA14</f>
        <v>514788</v>
      </c>
      <c r="AB6" s="28">
        <f>AB7+AB14</f>
        <v>526731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395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532474</v>
      </c>
      <c r="AA7" s="35">
        <f>AA8+AA12</f>
        <v>514788</v>
      </c>
      <c r="AB7" s="36">
        <f>AB8+AB12</f>
        <v>526731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396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453009</v>
      </c>
      <c r="AA8" s="35">
        <v>430286</v>
      </c>
      <c r="AB8" s="36">
        <v>430895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288068</v>
      </c>
      <c r="AA9" s="35">
        <v>267153</v>
      </c>
      <c r="AB9" s="36">
        <v>278147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51</v>
      </c>
      <c r="H10" s="49" t="s">
        <v>181</v>
      </c>
      <c r="I10" s="50">
        <f>SUM(I11:I15)</f>
        <v>51</v>
      </c>
      <c r="J10" s="51" t="s">
        <v>173</v>
      </c>
      <c r="K10" s="52">
        <f>SUM(K11:K15)</f>
        <v>51</v>
      </c>
      <c r="L10" s="53" t="s">
        <v>181</v>
      </c>
      <c r="M10" s="48">
        <v>51</v>
      </c>
      <c r="N10" s="51" t="s">
        <v>173</v>
      </c>
      <c r="O10" s="52">
        <f>SUM(O11:O15)</f>
        <v>51</v>
      </c>
      <c r="P10" s="53" t="s">
        <v>181</v>
      </c>
      <c r="Q10" s="48">
        <f>SUM(Q11:Q15)</f>
        <v>51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121942</v>
      </c>
      <c r="AA10" s="35">
        <v>122971</v>
      </c>
      <c r="AB10" s="36">
        <v>116286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35</v>
      </c>
      <c r="H11" s="59" t="s">
        <v>181</v>
      </c>
      <c r="I11" s="60">
        <v>35</v>
      </c>
      <c r="J11" s="61" t="s">
        <v>173</v>
      </c>
      <c r="K11" s="62">
        <v>35</v>
      </c>
      <c r="L11" s="63" t="s">
        <v>181</v>
      </c>
      <c r="M11" s="58">
        <v>35</v>
      </c>
      <c r="N11" s="61" t="s">
        <v>173</v>
      </c>
      <c r="O11" s="62">
        <v>35</v>
      </c>
      <c r="P11" s="63" t="s">
        <v>181</v>
      </c>
      <c r="Q11" s="58">
        <v>35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>
        <v>12</v>
      </c>
      <c r="H12" s="59" t="s">
        <v>181</v>
      </c>
      <c r="I12" s="60">
        <v>12</v>
      </c>
      <c r="J12" s="64" t="s">
        <v>173</v>
      </c>
      <c r="K12" s="62">
        <v>12</v>
      </c>
      <c r="L12" s="63" t="s">
        <v>181</v>
      </c>
      <c r="M12" s="58">
        <v>12</v>
      </c>
      <c r="N12" s="61" t="s">
        <v>173</v>
      </c>
      <c r="O12" s="62">
        <v>12</v>
      </c>
      <c r="P12" s="63" t="s">
        <v>181</v>
      </c>
      <c r="Q12" s="58">
        <v>12</v>
      </c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79465</v>
      </c>
      <c r="AA12" s="35">
        <v>84502</v>
      </c>
      <c r="AB12" s="36">
        <v>95836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64852</v>
      </c>
      <c r="AA13" s="35">
        <v>66474</v>
      </c>
      <c r="AB13" s="36">
        <v>80614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>
        <v>4</v>
      </c>
      <c r="H15" s="59" t="s">
        <v>181</v>
      </c>
      <c r="I15" s="60">
        <v>4</v>
      </c>
      <c r="J15" s="61" t="s">
        <v>173</v>
      </c>
      <c r="K15" s="62">
        <v>4</v>
      </c>
      <c r="L15" s="63" t="s">
        <v>181</v>
      </c>
      <c r="M15" s="58">
        <v>4</v>
      </c>
      <c r="N15" s="61" t="s">
        <v>173</v>
      </c>
      <c r="O15" s="62">
        <v>4</v>
      </c>
      <c r="P15" s="63" t="s">
        <v>181</v>
      </c>
      <c r="Q15" s="58">
        <v>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513502</v>
      </c>
      <c r="AA15" s="35">
        <f>AA16+AA23</f>
        <v>504666</v>
      </c>
      <c r="AB15" s="36">
        <f>AB16+AB23</f>
        <v>501379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10</v>
      </c>
      <c r="H16" s="673"/>
      <c r="I16" s="673"/>
      <c r="J16" s="674"/>
      <c r="K16" s="675">
        <v>10</v>
      </c>
      <c r="L16" s="673"/>
      <c r="M16" s="673"/>
      <c r="N16" s="674"/>
      <c r="O16" s="675">
        <v>12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513502</v>
      </c>
      <c r="AA16" s="35">
        <f>AA17+AA21</f>
        <v>504666</v>
      </c>
      <c r="AB16" s="36">
        <f>AB17+AB21</f>
        <v>501379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5</v>
      </c>
      <c r="H17" s="677"/>
      <c r="I17" s="677"/>
      <c r="J17" s="678"/>
      <c r="K17" s="679">
        <v>5</v>
      </c>
      <c r="L17" s="677"/>
      <c r="M17" s="677"/>
      <c r="N17" s="678"/>
      <c r="O17" s="679">
        <v>5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490561</v>
      </c>
      <c r="AA17" s="35">
        <v>486412</v>
      </c>
      <c r="AB17" s="36">
        <v>489409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2641</v>
      </c>
      <c r="H18" s="663"/>
      <c r="I18" s="663"/>
      <c r="J18" s="664"/>
      <c r="K18" s="665">
        <v>2641</v>
      </c>
      <c r="L18" s="663"/>
      <c r="M18" s="663"/>
      <c r="N18" s="664"/>
      <c r="O18" s="665">
        <v>2641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315213</v>
      </c>
      <c r="AA18" s="35">
        <v>308584</v>
      </c>
      <c r="AB18" s="36">
        <v>289025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59855</v>
      </c>
      <c r="AA19" s="35">
        <v>56094</v>
      </c>
      <c r="AB19" s="36">
        <v>60849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58</v>
      </c>
      <c r="H20" s="85" t="s">
        <v>181</v>
      </c>
      <c r="I20" s="91">
        <f>G20/G10*100</f>
        <v>113.72549019607843</v>
      </c>
      <c r="J20" s="87" t="s">
        <v>173</v>
      </c>
      <c r="K20" s="88">
        <v>59</v>
      </c>
      <c r="L20" s="89" t="s">
        <v>181</v>
      </c>
      <c r="M20" s="407">
        <f>K20/K10*100</f>
        <v>115.68627450980394</v>
      </c>
      <c r="N20" s="87" t="s">
        <v>173</v>
      </c>
      <c r="O20" s="88">
        <v>55</v>
      </c>
      <c r="P20" s="89" t="s">
        <v>181</v>
      </c>
      <c r="Q20" s="91">
        <f>O20/O10*100</f>
        <v>107.84313725490196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22996</v>
      </c>
      <c r="AA20" s="35">
        <v>25655</v>
      </c>
      <c r="AB20" s="36">
        <v>24534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4</v>
      </c>
      <c r="H21" s="85" t="s">
        <v>181</v>
      </c>
      <c r="I21" s="91">
        <f>G21/G10*100</f>
        <v>7.8431372549019605</v>
      </c>
      <c r="J21" s="87" t="s">
        <v>173</v>
      </c>
      <c r="K21" s="88">
        <v>4</v>
      </c>
      <c r="L21" s="89" t="s">
        <v>181</v>
      </c>
      <c r="M21" s="91">
        <f>K21/K10*100</f>
        <v>7.8431372549019605</v>
      </c>
      <c r="N21" s="87" t="s">
        <v>173</v>
      </c>
      <c r="O21" s="88">
        <v>3</v>
      </c>
      <c r="P21" s="89" t="s">
        <v>181</v>
      </c>
      <c r="Q21" s="91">
        <f>O21/O10*100</f>
        <v>5.88235294117647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22941</v>
      </c>
      <c r="AA21" s="35">
        <v>18254</v>
      </c>
      <c r="AB21" s="36">
        <v>11970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34</v>
      </c>
      <c r="H22" s="85" t="s">
        <v>181</v>
      </c>
      <c r="I22" s="91">
        <f>G22/G10*100</f>
        <v>66.66666666666666</v>
      </c>
      <c r="J22" s="87" t="s">
        <v>173</v>
      </c>
      <c r="K22" s="88">
        <v>34</v>
      </c>
      <c r="L22" s="89" t="s">
        <v>181</v>
      </c>
      <c r="M22" s="91">
        <f>K22/K10*100</f>
        <v>66.66666666666666</v>
      </c>
      <c r="N22" s="87" t="s">
        <v>173</v>
      </c>
      <c r="O22" s="88">
        <v>32</v>
      </c>
      <c r="P22" s="89" t="s">
        <v>181</v>
      </c>
      <c r="Q22" s="91">
        <f>O22/O10*100</f>
        <v>62.745098039215684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12073</v>
      </c>
      <c r="AA22" s="35">
        <v>10465</v>
      </c>
      <c r="AB22" s="36">
        <v>89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8</v>
      </c>
      <c r="H23" s="77" t="s">
        <v>181</v>
      </c>
      <c r="I23" s="96">
        <f>G23/G10*100</f>
        <v>15.686274509803921</v>
      </c>
      <c r="J23" s="97" t="s">
        <v>173</v>
      </c>
      <c r="K23" s="98">
        <v>8</v>
      </c>
      <c r="L23" s="99" t="s">
        <v>181</v>
      </c>
      <c r="M23" s="96">
        <f>K23/K10*100</f>
        <v>15.686274509803921</v>
      </c>
      <c r="N23" s="97" t="s">
        <v>173</v>
      </c>
      <c r="O23" s="98">
        <v>7</v>
      </c>
      <c r="P23" s="99" t="s">
        <v>181</v>
      </c>
      <c r="Q23" s="96">
        <f>O23/O10*100</f>
        <v>13.725490196078432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/>
      <c r="AB23" s="36"/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G30/(G10*366)*100</f>
        <v>66.72559734276224</v>
      </c>
      <c r="H24" s="696"/>
      <c r="I24" s="696"/>
      <c r="J24" s="697"/>
      <c r="K24" s="698">
        <f>K30/(K10*365)*100</f>
        <v>61.33763094278808</v>
      </c>
      <c r="L24" s="696"/>
      <c r="M24" s="696"/>
      <c r="N24" s="697"/>
      <c r="O24" s="698">
        <f>O30/(O10*365)*100</f>
        <v>61.504163309159274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18972</v>
      </c>
      <c r="AA24" s="101">
        <f>AA7-AA16</f>
        <v>10122</v>
      </c>
      <c r="AB24" s="102">
        <f>AB7-AB16</f>
        <v>25352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66.7</v>
      </c>
      <c r="H25" s="624"/>
      <c r="I25" s="624"/>
      <c r="J25" s="625"/>
      <c r="K25" s="626">
        <v>61.3</v>
      </c>
      <c r="L25" s="624"/>
      <c r="M25" s="624"/>
      <c r="N25" s="625"/>
      <c r="O25" s="626">
        <v>61.5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18972</v>
      </c>
      <c r="AA25" s="107">
        <f>AA6-AA15</f>
        <v>10122</v>
      </c>
      <c r="AB25" s="108">
        <f>AB6-AB15</f>
        <v>25352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72.4</v>
      </c>
      <c r="H26" s="624"/>
      <c r="I26" s="624"/>
      <c r="J26" s="625"/>
      <c r="K26" s="626">
        <v>66.6</v>
      </c>
      <c r="L26" s="624"/>
      <c r="M26" s="624"/>
      <c r="N26" s="625"/>
      <c r="O26" s="626">
        <v>66.7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25758</v>
      </c>
      <c r="AA26" s="27">
        <v>24136</v>
      </c>
      <c r="AB26" s="28">
        <v>63560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13.3</v>
      </c>
      <c r="H27" s="624"/>
      <c r="I27" s="624"/>
      <c r="J27" s="625"/>
      <c r="K27" s="626">
        <v>13.4</v>
      </c>
      <c r="L27" s="624"/>
      <c r="M27" s="624"/>
      <c r="N27" s="625"/>
      <c r="O27" s="626">
        <v>13.7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34</v>
      </c>
      <c r="H28" s="648"/>
      <c r="I28" s="648"/>
      <c r="J28" s="649"/>
      <c r="K28" s="650">
        <v>31</v>
      </c>
      <c r="L28" s="648"/>
      <c r="M28" s="648"/>
      <c r="N28" s="649"/>
      <c r="O28" s="650">
        <v>31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25758</v>
      </c>
      <c r="AA28" s="35">
        <v>24136</v>
      </c>
      <c r="AB28" s="36">
        <v>63560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93</v>
      </c>
      <c r="H29" s="648"/>
      <c r="I29" s="648"/>
      <c r="J29" s="649"/>
      <c r="K29" s="650">
        <v>91</v>
      </c>
      <c r="L29" s="648"/>
      <c r="M29" s="648"/>
      <c r="N29" s="649"/>
      <c r="O29" s="650">
        <v>82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128943</v>
      </c>
      <c r="AA29" s="35">
        <v>228617</v>
      </c>
      <c r="AB29" s="36">
        <v>74124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12455</v>
      </c>
      <c r="H30" s="656"/>
      <c r="I30" s="656"/>
      <c r="J30" s="657"/>
      <c r="K30" s="658">
        <v>11418</v>
      </c>
      <c r="L30" s="656"/>
      <c r="M30" s="656"/>
      <c r="N30" s="657"/>
      <c r="O30" s="658">
        <v>11449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90306</v>
      </c>
      <c r="AA30" s="35">
        <v>9899</v>
      </c>
      <c r="AB30" s="36">
        <v>70889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23079</v>
      </c>
      <c r="H31" s="656"/>
      <c r="I31" s="656"/>
      <c r="J31" s="657"/>
      <c r="K31" s="658">
        <v>22354</v>
      </c>
      <c r="L31" s="656"/>
      <c r="M31" s="656"/>
      <c r="N31" s="657"/>
      <c r="O31" s="658">
        <v>20120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38637</v>
      </c>
      <c r="AA31" s="35">
        <v>218718</v>
      </c>
      <c r="AB31" s="36">
        <v>3235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185.3</v>
      </c>
      <c r="H32" s="624"/>
      <c r="I32" s="624"/>
      <c r="J32" s="625"/>
      <c r="K32" s="626">
        <v>195.8</v>
      </c>
      <c r="L32" s="624"/>
      <c r="M32" s="624"/>
      <c r="N32" s="625"/>
      <c r="O32" s="626">
        <v>175.7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-103185</v>
      </c>
      <c r="AA32" s="179">
        <f>AA26-AA29</f>
        <v>-204481</v>
      </c>
      <c r="AB32" s="180">
        <f>AB26-AB29</f>
        <v>-10564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11081</v>
      </c>
      <c r="H33" s="656"/>
      <c r="I33" s="656"/>
      <c r="J33" s="657"/>
      <c r="K33" s="658">
        <v>10544</v>
      </c>
      <c r="L33" s="656"/>
      <c r="M33" s="656"/>
      <c r="N33" s="657"/>
      <c r="O33" s="658">
        <v>11270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103185</v>
      </c>
      <c r="AA33" s="35">
        <v>204481</v>
      </c>
      <c r="AB33" s="36">
        <v>10564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8.5</v>
      </c>
      <c r="H34" s="624"/>
      <c r="I34" s="624"/>
      <c r="J34" s="625"/>
      <c r="K34" s="626">
        <v>7.8</v>
      </c>
      <c r="L34" s="624"/>
      <c r="M34" s="624"/>
      <c r="N34" s="625"/>
      <c r="O34" s="626">
        <v>10.5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15.8</v>
      </c>
      <c r="H35" s="624"/>
      <c r="I35" s="624"/>
      <c r="J35" s="625"/>
      <c r="K35" s="626">
        <v>15.3</v>
      </c>
      <c r="L35" s="624"/>
      <c r="M35" s="624"/>
      <c r="N35" s="625"/>
      <c r="O35" s="626">
        <v>18.4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419333</v>
      </c>
      <c r="AA35" s="123">
        <v>251253</v>
      </c>
      <c r="AB35" s="117">
        <v>294488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280</v>
      </c>
      <c r="H36" s="648"/>
      <c r="I36" s="648"/>
      <c r="J36" s="649"/>
      <c r="K36" s="650">
        <v>267</v>
      </c>
      <c r="L36" s="648"/>
      <c r="M36" s="648"/>
      <c r="N36" s="649"/>
      <c r="O36" s="650">
        <v>360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90610</v>
      </c>
      <c r="AA36" s="27">
        <v>90610</v>
      </c>
      <c r="AB36" s="28">
        <v>144174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100</v>
      </c>
      <c r="H37" s="624"/>
      <c r="I37" s="624"/>
      <c r="J37" s="625"/>
      <c r="K37" s="626">
        <v>101.2</v>
      </c>
      <c r="L37" s="624"/>
      <c r="M37" s="624"/>
      <c r="N37" s="625"/>
      <c r="O37" s="626">
        <v>100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90610</v>
      </c>
      <c r="AA37" s="132">
        <v>90000</v>
      </c>
      <c r="AB37" s="133">
        <v>112862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23129</v>
      </c>
      <c r="H38" s="648"/>
      <c r="I38" s="648"/>
      <c r="J38" s="649"/>
      <c r="K38" s="650">
        <v>23398</v>
      </c>
      <c r="L38" s="648"/>
      <c r="M38" s="648"/>
      <c r="N38" s="649"/>
      <c r="O38" s="650">
        <v>24294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625321</v>
      </c>
      <c r="AA38" s="136">
        <v>713973</v>
      </c>
      <c r="AB38" s="137">
        <v>557612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5284</v>
      </c>
      <c r="H39" s="648"/>
      <c r="I39" s="648"/>
      <c r="J39" s="649"/>
      <c r="K39" s="650">
        <v>5501</v>
      </c>
      <c r="L39" s="648"/>
      <c r="M39" s="648"/>
      <c r="N39" s="649"/>
      <c r="O39" s="650">
        <v>5780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562807</v>
      </c>
      <c r="AA39" s="27">
        <v>545511</v>
      </c>
      <c r="AB39" s="28">
        <v>585897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13160</v>
      </c>
      <c r="H40" s="648"/>
      <c r="I40" s="648"/>
      <c r="J40" s="649"/>
      <c r="K40" s="650">
        <v>13275</v>
      </c>
      <c r="L40" s="648"/>
      <c r="M40" s="648"/>
      <c r="N40" s="649"/>
      <c r="O40" s="650">
        <v>14131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1125862</v>
      </c>
      <c r="AA40" s="35">
        <v>1131312</v>
      </c>
      <c r="AB40" s="36">
        <v>1186047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722</v>
      </c>
      <c r="H41" s="648"/>
      <c r="I41" s="648"/>
      <c r="J41" s="649"/>
      <c r="K41" s="650">
        <v>706</v>
      </c>
      <c r="L41" s="648"/>
      <c r="M41" s="648"/>
      <c r="N41" s="649"/>
      <c r="O41" s="650">
        <v>914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568605</v>
      </c>
      <c r="AA41" s="35">
        <v>591351</v>
      </c>
      <c r="AB41" s="36">
        <v>605701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14451</v>
      </c>
      <c r="H42" s="648"/>
      <c r="I42" s="648"/>
      <c r="J42" s="649"/>
      <c r="K42" s="650">
        <v>14943</v>
      </c>
      <c r="L42" s="648"/>
      <c r="M42" s="648"/>
      <c r="N42" s="649"/>
      <c r="O42" s="650">
        <v>15882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494403</v>
      </c>
      <c r="AA42" s="149">
        <v>327490</v>
      </c>
      <c r="AB42" s="150">
        <v>381660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8871</v>
      </c>
      <c r="H43" s="648"/>
      <c r="I43" s="648"/>
      <c r="J43" s="649"/>
      <c r="K43" s="650">
        <v>9137</v>
      </c>
      <c r="L43" s="648"/>
      <c r="M43" s="648"/>
      <c r="N43" s="649"/>
      <c r="O43" s="650">
        <v>9155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434775</v>
      </c>
      <c r="AA43" s="35">
        <v>273082</v>
      </c>
      <c r="AB43" s="36">
        <v>321860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722</v>
      </c>
      <c r="H44" s="648"/>
      <c r="I44" s="648"/>
      <c r="J44" s="649"/>
      <c r="K44" s="650">
        <v>698</v>
      </c>
      <c r="L44" s="648"/>
      <c r="M44" s="648"/>
      <c r="N44" s="649"/>
      <c r="O44" s="650">
        <v>914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57290</v>
      </c>
      <c r="AA44" s="154">
        <v>51650</v>
      </c>
      <c r="AB44" s="155">
        <v>56910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534</v>
      </c>
      <c r="H45" s="648"/>
      <c r="I45" s="648"/>
      <c r="J45" s="649"/>
      <c r="K45" s="650">
        <v>300</v>
      </c>
      <c r="L45" s="648"/>
      <c r="M45" s="648"/>
      <c r="N45" s="649"/>
      <c r="O45" s="650">
        <v>803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2338</v>
      </c>
      <c r="AA45" s="35">
        <v>2758</v>
      </c>
      <c r="AB45" s="36">
        <v>2890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688</v>
      </c>
      <c r="H46" s="648"/>
      <c r="I46" s="648"/>
      <c r="J46" s="649"/>
      <c r="K46" s="650">
        <v>674</v>
      </c>
      <c r="L46" s="648"/>
      <c r="M46" s="648"/>
      <c r="N46" s="649"/>
      <c r="O46" s="650">
        <v>665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/>
      <c r="AA46" s="149"/>
      <c r="AB46" s="150"/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26335</v>
      </c>
      <c r="H47" s="648"/>
      <c r="I47" s="648"/>
      <c r="J47" s="649"/>
      <c r="K47" s="650">
        <v>25082</v>
      </c>
      <c r="L47" s="648"/>
      <c r="M47" s="648"/>
      <c r="N47" s="649"/>
      <c r="O47" s="650">
        <v>25118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1057210</v>
      </c>
      <c r="AA47" s="136">
        <f>AA39+AA42+AA46</f>
        <v>873001</v>
      </c>
      <c r="AB47" s="137">
        <f>AB39+AB42+AB46</f>
        <v>967557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28518</v>
      </c>
      <c r="H48" s="700"/>
      <c r="I48" s="700"/>
      <c r="J48" s="701"/>
      <c r="K48" s="702">
        <v>28354</v>
      </c>
      <c r="L48" s="700"/>
      <c r="M48" s="700"/>
      <c r="N48" s="701"/>
      <c r="O48" s="702">
        <v>28529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61.4</v>
      </c>
      <c r="H49" s="635"/>
      <c r="I49" s="635"/>
      <c r="J49" s="636"/>
      <c r="K49" s="637">
        <v>61.1</v>
      </c>
      <c r="L49" s="635"/>
      <c r="M49" s="635"/>
      <c r="N49" s="636"/>
      <c r="O49" s="637">
        <v>57.6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75070</v>
      </c>
      <c r="AA49" s="35">
        <v>76237</v>
      </c>
      <c r="AB49" s="36">
        <v>87172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2.4</v>
      </c>
      <c r="H50" s="624"/>
      <c r="I50" s="624"/>
      <c r="J50" s="625"/>
      <c r="K50" s="626">
        <v>2.1</v>
      </c>
      <c r="L50" s="624"/>
      <c r="M50" s="624"/>
      <c r="N50" s="625"/>
      <c r="O50" s="626">
        <v>0.1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4.5</v>
      </c>
      <c r="H51" s="624"/>
      <c r="I51" s="624"/>
      <c r="J51" s="625"/>
      <c r="K51" s="626">
        <v>5.1</v>
      </c>
      <c r="L51" s="624"/>
      <c r="M51" s="624"/>
      <c r="N51" s="625"/>
      <c r="O51" s="626">
        <v>4.9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75070</v>
      </c>
      <c r="AA51" s="132">
        <v>76237</v>
      </c>
      <c r="AB51" s="133">
        <v>87172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11.7</v>
      </c>
      <c r="H52" s="624"/>
      <c r="I52" s="624"/>
      <c r="J52" s="625"/>
      <c r="K52" s="626">
        <v>11.1</v>
      </c>
      <c r="L52" s="624"/>
      <c r="M52" s="624"/>
      <c r="N52" s="625"/>
      <c r="O52" s="626">
        <v>12.1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75070</v>
      </c>
      <c r="AA52" s="169">
        <f>AA48+AA49</f>
        <v>76237</v>
      </c>
      <c r="AB52" s="170">
        <f>AB48+AB49</f>
        <v>87172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20.1</v>
      </c>
      <c r="H53" s="639"/>
      <c r="I53" s="639"/>
      <c r="J53" s="640"/>
      <c r="K53" s="641">
        <v>20.6</v>
      </c>
      <c r="L53" s="639"/>
      <c r="M53" s="639"/>
      <c r="N53" s="640"/>
      <c r="O53" s="641">
        <v>25.3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1048976</v>
      </c>
      <c r="AA53" s="27">
        <v>854394</v>
      </c>
      <c r="AB53" s="28">
        <v>856240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71.2</v>
      </c>
      <c r="H54" s="635"/>
      <c r="I54" s="635"/>
      <c r="J54" s="636"/>
      <c r="K54" s="637">
        <v>90</v>
      </c>
      <c r="L54" s="635"/>
      <c r="M54" s="635"/>
      <c r="N54" s="636"/>
      <c r="O54" s="637">
        <v>90.2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819532</v>
      </c>
      <c r="AA54" s="35">
        <v>843669</v>
      </c>
      <c r="AB54" s="36">
        <v>848749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658.2</v>
      </c>
      <c r="H55" s="624"/>
      <c r="I55" s="624"/>
      <c r="J55" s="625"/>
      <c r="K55" s="626">
        <v>429.6</v>
      </c>
      <c r="L55" s="624"/>
      <c r="M55" s="624"/>
      <c r="N55" s="625"/>
      <c r="O55" s="626">
        <v>437.8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229444</v>
      </c>
      <c r="AA55" s="35">
        <v>10725</v>
      </c>
      <c r="AB55" s="36">
        <v>7491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103.7</v>
      </c>
      <c r="H56" s="624"/>
      <c r="I56" s="624"/>
      <c r="J56" s="625"/>
      <c r="K56" s="626">
        <v>102</v>
      </c>
      <c r="L56" s="624"/>
      <c r="M56" s="624"/>
      <c r="N56" s="625"/>
      <c r="O56" s="626">
        <v>105.1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92.3</v>
      </c>
      <c r="H57" s="624"/>
      <c r="I57" s="624"/>
      <c r="J57" s="625"/>
      <c r="K57" s="626">
        <v>88.5</v>
      </c>
      <c r="L57" s="624"/>
      <c r="M57" s="624"/>
      <c r="N57" s="625"/>
      <c r="O57" s="626">
        <v>88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606">
        <v>-66836</v>
      </c>
      <c r="AA57" s="607">
        <v>-57630</v>
      </c>
      <c r="AB57" s="36">
        <v>24145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37.1</v>
      </c>
      <c r="H58" s="624"/>
      <c r="I58" s="624"/>
      <c r="J58" s="625"/>
      <c r="K58" s="626">
        <v>36.7</v>
      </c>
      <c r="L58" s="624"/>
      <c r="M58" s="624"/>
      <c r="N58" s="625"/>
      <c r="O58" s="626">
        <v>30.7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101093</v>
      </c>
      <c r="AA58" s="35">
        <v>100178</v>
      </c>
      <c r="AB58" s="36">
        <v>156601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8.5</v>
      </c>
      <c r="H60" s="624"/>
      <c r="I60" s="624"/>
      <c r="J60" s="625"/>
      <c r="K60" s="626">
        <v>50.8</v>
      </c>
      <c r="L60" s="624"/>
      <c r="M60" s="624"/>
      <c r="N60" s="625"/>
      <c r="O60" s="626">
        <v>0.8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608">
        <v>-167929</v>
      </c>
      <c r="AA60" s="609">
        <v>-157808</v>
      </c>
      <c r="AB60" s="610">
        <v>-132456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2.7</v>
      </c>
      <c r="H61" s="624"/>
      <c r="I61" s="624"/>
      <c r="J61" s="625"/>
      <c r="K61" s="626">
        <v>2.4</v>
      </c>
      <c r="L61" s="624"/>
      <c r="M61" s="624"/>
      <c r="N61" s="625"/>
      <c r="O61" s="626">
        <v>0.1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982140</v>
      </c>
      <c r="AA61" s="169">
        <f>AA53+AA57</f>
        <v>796764</v>
      </c>
      <c r="AB61" s="170">
        <f>AB53+AB57</f>
        <v>880385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11.2</v>
      </c>
      <c r="H62" s="624"/>
      <c r="I62" s="624"/>
      <c r="J62" s="625"/>
      <c r="K62" s="626">
        <v>53.2</v>
      </c>
      <c r="L62" s="624"/>
      <c r="M62" s="624"/>
      <c r="N62" s="625"/>
      <c r="O62" s="626">
        <v>0.8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69.6</v>
      </c>
      <c r="H63" s="624"/>
      <c r="I63" s="624"/>
      <c r="J63" s="625"/>
      <c r="K63" s="626">
        <v>71.7</v>
      </c>
      <c r="L63" s="624"/>
      <c r="M63" s="624"/>
      <c r="N63" s="625"/>
      <c r="O63" s="626">
        <v>67.1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11.3</v>
      </c>
      <c r="H64" s="639"/>
      <c r="I64" s="639"/>
      <c r="J64" s="640"/>
      <c r="K64" s="641">
        <v>11.2</v>
      </c>
      <c r="L64" s="639"/>
      <c r="M64" s="639"/>
      <c r="N64" s="640"/>
      <c r="O64" s="641">
        <v>12.4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430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21490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24563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408">
        <f>Z7+Z14</f>
        <v>2529691</v>
      </c>
      <c r="AA6" s="409">
        <v>2511137</v>
      </c>
      <c r="AB6" s="28">
        <f>AB7+AB14</f>
        <v>2514952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397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410">
        <f>Z8+Z12</f>
        <v>2529522</v>
      </c>
      <c r="AA7" s="411">
        <f>1818639+691447</f>
        <v>2510086</v>
      </c>
      <c r="AB7" s="36">
        <f>AB8+AB12</f>
        <v>2514666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54" t="s">
        <v>398</v>
      </c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6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410">
        <v>1833137</v>
      </c>
      <c r="AA8" s="411">
        <v>1818639</v>
      </c>
      <c r="AB8" s="36">
        <v>1787700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410">
        <v>1073120</v>
      </c>
      <c r="AA9" s="411">
        <v>1016991</v>
      </c>
      <c r="AB9" s="36">
        <v>997465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373">
        <v>157</v>
      </c>
      <c r="H10" s="370" t="s">
        <v>181</v>
      </c>
      <c r="I10" s="371">
        <v>145</v>
      </c>
      <c r="J10" s="372" t="s">
        <v>173</v>
      </c>
      <c r="K10" s="373">
        <v>157</v>
      </c>
      <c r="L10" s="370" t="s">
        <v>181</v>
      </c>
      <c r="M10" s="371">
        <v>145</v>
      </c>
      <c r="N10" s="372" t="s">
        <v>173</v>
      </c>
      <c r="O10" s="50">
        <v>157</v>
      </c>
      <c r="P10" s="53" t="s">
        <v>181</v>
      </c>
      <c r="Q10" s="48">
        <v>145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410">
        <v>630072</v>
      </c>
      <c r="AA10" s="411">
        <v>673813</v>
      </c>
      <c r="AB10" s="36">
        <v>667887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378">
        <v>157</v>
      </c>
      <c r="H11" s="375" t="s">
        <v>181</v>
      </c>
      <c r="I11" s="376">
        <v>145</v>
      </c>
      <c r="J11" s="377" t="s">
        <v>173</v>
      </c>
      <c r="K11" s="378">
        <v>157</v>
      </c>
      <c r="L11" s="375" t="s">
        <v>181</v>
      </c>
      <c r="M11" s="376">
        <v>145</v>
      </c>
      <c r="N11" s="377" t="s">
        <v>173</v>
      </c>
      <c r="O11" s="60">
        <v>157</v>
      </c>
      <c r="P11" s="63" t="s">
        <v>181</v>
      </c>
      <c r="Q11" s="58">
        <v>145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410">
        <v>45170</v>
      </c>
      <c r="AA11" s="411">
        <v>45010</v>
      </c>
      <c r="AB11" s="36">
        <v>43866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378"/>
      <c r="H12" s="375" t="s">
        <v>181</v>
      </c>
      <c r="I12" s="376"/>
      <c r="J12" s="377" t="s">
        <v>173</v>
      </c>
      <c r="K12" s="378"/>
      <c r="L12" s="375" t="s">
        <v>181</v>
      </c>
      <c r="M12" s="376"/>
      <c r="N12" s="377" t="s">
        <v>173</v>
      </c>
      <c r="O12" s="60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410">
        <v>696385</v>
      </c>
      <c r="AA12" s="411">
        <v>691447</v>
      </c>
      <c r="AB12" s="36">
        <v>726966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378"/>
      <c r="H13" s="375" t="s">
        <v>181</v>
      </c>
      <c r="I13" s="376"/>
      <c r="J13" s="377" t="s">
        <v>173</v>
      </c>
      <c r="K13" s="378"/>
      <c r="L13" s="375" t="s">
        <v>181</v>
      </c>
      <c r="M13" s="376"/>
      <c r="N13" s="377" t="s">
        <v>173</v>
      </c>
      <c r="O13" s="60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410">
        <v>221979</v>
      </c>
      <c r="AA13" s="411">
        <f>107435+112259</f>
        <v>219694</v>
      </c>
      <c r="AB13" s="36">
        <f>145230+102723</f>
        <v>247953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378"/>
      <c r="H14" s="375" t="s">
        <v>181</v>
      </c>
      <c r="I14" s="376"/>
      <c r="J14" s="377" t="s">
        <v>173</v>
      </c>
      <c r="K14" s="378"/>
      <c r="L14" s="375" t="s">
        <v>181</v>
      </c>
      <c r="M14" s="376"/>
      <c r="N14" s="377" t="s">
        <v>173</v>
      </c>
      <c r="O14" s="60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410">
        <v>169</v>
      </c>
      <c r="AA14" s="411">
        <v>1051</v>
      </c>
      <c r="AB14" s="36">
        <v>286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378"/>
      <c r="H15" s="375" t="s">
        <v>181</v>
      </c>
      <c r="I15" s="376" t="s">
        <v>184</v>
      </c>
      <c r="J15" s="377" t="s">
        <v>173</v>
      </c>
      <c r="K15" s="378"/>
      <c r="L15" s="375" t="s">
        <v>181</v>
      </c>
      <c r="M15" s="376" t="s">
        <v>184</v>
      </c>
      <c r="N15" s="377" t="s">
        <v>173</v>
      </c>
      <c r="O15" s="60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410">
        <f>Z16+Z23</f>
        <v>2621132</v>
      </c>
      <c r="AA15" s="411">
        <v>2608396</v>
      </c>
      <c r="AB15" s="36">
        <f>AB16+AB23</f>
        <v>2630431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839">
        <v>43</v>
      </c>
      <c r="H16" s="837"/>
      <c r="I16" s="837"/>
      <c r="J16" s="838"/>
      <c r="K16" s="839">
        <v>43</v>
      </c>
      <c r="L16" s="837"/>
      <c r="M16" s="837"/>
      <c r="N16" s="838"/>
      <c r="O16" s="673">
        <v>43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410">
        <f>Z17+Z21</f>
        <v>2620011</v>
      </c>
      <c r="AA16" s="411">
        <f>2102876+505333</f>
        <v>2608209</v>
      </c>
      <c r="AB16" s="36">
        <f>AB17+AB21</f>
        <v>2629709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843">
        <v>2</v>
      </c>
      <c r="H17" s="841"/>
      <c r="I17" s="841"/>
      <c r="J17" s="842"/>
      <c r="K17" s="843">
        <v>2</v>
      </c>
      <c r="L17" s="841"/>
      <c r="M17" s="841"/>
      <c r="N17" s="842"/>
      <c r="O17" s="677">
        <v>2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410">
        <v>2112356</v>
      </c>
      <c r="AA17" s="411">
        <v>2102876</v>
      </c>
      <c r="AB17" s="36">
        <v>2108087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835">
        <v>8795</v>
      </c>
      <c r="H18" s="833"/>
      <c r="I18" s="833"/>
      <c r="J18" s="834"/>
      <c r="K18" s="835">
        <v>8795</v>
      </c>
      <c r="L18" s="833"/>
      <c r="M18" s="833"/>
      <c r="N18" s="834"/>
      <c r="O18" s="663">
        <v>8795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410">
        <v>1125927</v>
      </c>
      <c r="AA18" s="411">
        <v>1130907</v>
      </c>
      <c r="AB18" s="36">
        <v>1124291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383"/>
      <c r="H19" s="380" t="s">
        <v>181</v>
      </c>
      <c r="I19" s="381" t="s">
        <v>184</v>
      </c>
      <c r="J19" s="382" t="s">
        <v>189</v>
      </c>
      <c r="K19" s="383"/>
      <c r="L19" s="380" t="s">
        <v>181</v>
      </c>
      <c r="M19" s="381" t="s">
        <v>184</v>
      </c>
      <c r="N19" s="382" t="s">
        <v>189</v>
      </c>
      <c r="O19" s="76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410">
        <v>310282</v>
      </c>
      <c r="AA19" s="411">
        <v>298518</v>
      </c>
      <c r="AB19" s="36">
        <v>291130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378">
        <v>226</v>
      </c>
      <c r="H20" s="385" t="s">
        <v>181</v>
      </c>
      <c r="I20" s="412">
        <f>G20/G10*100</f>
        <v>143.94904458598725</v>
      </c>
      <c r="J20" s="389" t="s">
        <v>173</v>
      </c>
      <c r="K20" s="378">
        <v>222.4</v>
      </c>
      <c r="L20" s="385" t="s">
        <v>181</v>
      </c>
      <c r="M20" s="412">
        <f>K20/K10*100</f>
        <v>141.65605095541403</v>
      </c>
      <c r="N20" s="389" t="s">
        <v>173</v>
      </c>
      <c r="O20" s="390">
        <v>232.4</v>
      </c>
      <c r="P20" s="89" t="s">
        <v>181</v>
      </c>
      <c r="Q20" s="413">
        <f>O20/O10*100</f>
        <v>148.0254777070064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410">
        <v>157363</v>
      </c>
      <c r="AA20" s="411">
        <v>167054</v>
      </c>
      <c r="AB20" s="36">
        <v>157930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378">
        <v>15</v>
      </c>
      <c r="H21" s="385" t="s">
        <v>181</v>
      </c>
      <c r="I21" s="391">
        <f>G21/G10*100</f>
        <v>9.554140127388536</v>
      </c>
      <c r="J21" s="389" t="s">
        <v>173</v>
      </c>
      <c r="K21" s="378">
        <v>13.1</v>
      </c>
      <c r="L21" s="385" t="s">
        <v>181</v>
      </c>
      <c r="M21" s="391">
        <f>K21/K10*100</f>
        <v>8.343949044585987</v>
      </c>
      <c r="N21" s="389" t="s">
        <v>173</v>
      </c>
      <c r="O21" s="390">
        <v>12.8</v>
      </c>
      <c r="P21" s="89" t="s">
        <v>181</v>
      </c>
      <c r="Q21" s="91">
        <f>O21/O10*100</f>
        <v>8.152866242038218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410">
        <v>507655</v>
      </c>
      <c r="AA21" s="411">
        <v>505333</v>
      </c>
      <c r="AB21" s="36">
        <v>521622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378">
        <v>116</v>
      </c>
      <c r="H22" s="385" t="s">
        <v>181</v>
      </c>
      <c r="I22" s="391">
        <f>G22/G10*100</f>
        <v>73.88535031847134</v>
      </c>
      <c r="J22" s="389" t="s">
        <v>173</v>
      </c>
      <c r="K22" s="378">
        <v>111.3</v>
      </c>
      <c r="L22" s="385" t="s">
        <v>181</v>
      </c>
      <c r="M22" s="391">
        <f>K22/K10*100</f>
        <v>70.89171974522293</v>
      </c>
      <c r="N22" s="389" t="s">
        <v>173</v>
      </c>
      <c r="O22" s="390">
        <f>80.6+18.6+13.6</f>
        <v>112.79999999999998</v>
      </c>
      <c r="P22" s="89" t="s">
        <v>181</v>
      </c>
      <c r="Q22" s="91">
        <f>O22/O10*100</f>
        <v>71.84713375796177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410">
        <v>21493</v>
      </c>
      <c r="AA22" s="411">
        <v>19232</v>
      </c>
      <c r="AB22" s="36">
        <v>17346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395">
        <v>22</v>
      </c>
      <c r="H23" s="380" t="s">
        <v>181</v>
      </c>
      <c r="I23" s="393">
        <f>G23/G10*100</f>
        <v>14.012738853503185</v>
      </c>
      <c r="J23" s="382" t="s">
        <v>173</v>
      </c>
      <c r="K23" s="395">
        <v>20.4</v>
      </c>
      <c r="L23" s="380" t="s">
        <v>181</v>
      </c>
      <c r="M23" s="393">
        <f>K23/K10*100</f>
        <v>12.993630573248408</v>
      </c>
      <c r="N23" s="382" t="s">
        <v>173</v>
      </c>
      <c r="O23" s="396">
        <v>24.9</v>
      </c>
      <c r="P23" s="99" t="s">
        <v>181</v>
      </c>
      <c r="Q23" s="96">
        <f>O23/O10*100</f>
        <v>15.859872611464967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410">
        <v>1121</v>
      </c>
      <c r="AA23" s="411">
        <v>187</v>
      </c>
      <c r="AB23" s="36">
        <v>722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739">
        <f>G30/(G10*365)*100</f>
        <v>57.92164732571329</v>
      </c>
      <c r="H24" s="740"/>
      <c r="I24" s="740"/>
      <c r="J24" s="848"/>
      <c r="K24" s="739">
        <f>K30/(K10*365)*100</f>
        <v>51.72323531978012</v>
      </c>
      <c r="L24" s="740"/>
      <c r="M24" s="740"/>
      <c r="N24" s="848"/>
      <c r="O24" s="696">
        <v>50.1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477">
        <f>Z7-Z16</f>
        <v>-90489</v>
      </c>
      <c r="AA24" s="478">
        <f>AA7-AA16</f>
        <v>-98123</v>
      </c>
      <c r="AB24" s="180">
        <f>AB7-AB16</f>
        <v>-115043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724">
        <v>62.5</v>
      </c>
      <c r="H25" s="725"/>
      <c r="I25" s="725"/>
      <c r="J25" s="824"/>
      <c r="K25" s="724">
        <v>56</v>
      </c>
      <c r="L25" s="725"/>
      <c r="M25" s="725"/>
      <c r="N25" s="824"/>
      <c r="O25" s="624">
        <v>54.2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483">
        <f>Z6-Z15</f>
        <v>-91441</v>
      </c>
      <c r="AA25" s="484">
        <f>AA6-AA15</f>
        <v>-97259</v>
      </c>
      <c r="AB25" s="183">
        <f>AB6-AB15</f>
        <v>-115479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724">
        <v>62.5</v>
      </c>
      <c r="H26" s="725"/>
      <c r="I26" s="725"/>
      <c r="J26" s="824"/>
      <c r="K26" s="724">
        <v>56</v>
      </c>
      <c r="L26" s="725"/>
      <c r="M26" s="725"/>
      <c r="N26" s="824"/>
      <c r="O26" s="624">
        <v>54.2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408">
        <v>421854</v>
      </c>
      <c r="AA26" s="409">
        <v>182224</v>
      </c>
      <c r="AB26" s="28">
        <v>329148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724">
        <v>15.4</v>
      </c>
      <c r="H27" s="725"/>
      <c r="I27" s="725"/>
      <c r="J27" s="824"/>
      <c r="K27" s="724">
        <v>14.8</v>
      </c>
      <c r="L27" s="725"/>
      <c r="M27" s="725"/>
      <c r="N27" s="824"/>
      <c r="O27" s="624">
        <v>14.3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410">
        <v>66600</v>
      </c>
      <c r="AA27" s="411">
        <v>3600</v>
      </c>
      <c r="AB27" s="36">
        <v>181700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733">
        <v>90.7</v>
      </c>
      <c r="H28" s="734"/>
      <c r="I28" s="734"/>
      <c r="J28" s="828"/>
      <c r="K28" s="733">
        <v>81.2</v>
      </c>
      <c r="L28" s="734"/>
      <c r="M28" s="734"/>
      <c r="N28" s="828"/>
      <c r="O28" s="648">
        <v>78.6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410">
        <v>263377</v>
      </c>
      <c r="AA28" s="411">
        <v>166624</v>
      </c>
      <c r="AB28" s="36">
        <v>144338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733">
        <v>311</v>
      </c>
      <c r="H29" s="734"/>
      <c r="I29" s="734"/>
      <c r="J29" s="828"/>
      <c r="K29" s="733">
        <v>316.6</v>
      </c>
      <c r="L29" s="734"/>
      <c r="M29" s="734"/>
      <c r="N29" s="828"/>
      <c r="O29" s="648">
        <v>316.9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410">
        <v>428089</v>
      </c>
      <c r="AA29" s="411">
        <v>262892</v>
      </c>
      <c r="AB29" s="36">
        <v>388661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736">
        <v>33192</v>
      </c>
      <c r="H30" s="737"/>
      <c r="I30" s="737"/>
      <c r="J30" s="830"/>
      <c r="K30" s="736">
        <v>29640</v>
      </c>
      <c r="L30" s="737"/>
      <c r="M30" s="737"/>
      <c r="N30" s="830"/>
      <c r="O30" s="656">
        <v>28685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410">
        <v>171153</v>
      </c>
      <c r="AA30" s="411">
        <v>33746</v>
      </c>
      <c r="AB30" s="36">
        <v>254058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736">
        <v>75822</v>
      </c>
      <c r="H31" s="737"/>
      <c r="I31" s="737"/>
      <c r="J31" s="830"/>
      <c r="K31" s="736">
        <v>77569</v>
      </c>
      <c r="L31" s="737"/>
      <c r="M31" s="737"/>
      <c r="N31" s="830"/>
      <c r="O31" s="656">
        <v>77317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410">
        <v>256936</v>
      </c>
      <c r="AA31" s="411">
        <v>229146</v>
      </c>
      <c r="AB31" s="36">
        <v>134603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724">
        <v>228.4</v>
      </c>
      <c r="H32" s="725"/>
      <c r="I32" s="725"/>
      <c r="J32" s="824"/>
      <c r="K32" s="724">
        <v>261.7</v>
      </c>
      <c r="L32" s="725"/>
      <c r="M32" s="725"/>
      <c r="N32" s="824"/>
      <c r="O32" s="624">
        <v>269.5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477">
        <f>Z26-Z29</f>
        <v>-6235</v>
      </c>
      <c r="AA32" s="478">
        <f>AA26-AA29</f>
        <v>-80668</v>
      </c>
      <c r="AB32" s="180">
        <f>AB26-AB29</f>
        <v>-59513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736">
        <v>10918</v>
      </c>
      <c r="H33" s="737"/>
      <c r="I33" s="737"/>
      <c r="J33" s="830"/>
      <c r="K33" s="736">
        <v>11197.3</v>
      </c>
      <c r="L33" s="737"/>
      <c r="M33" s="737"/>
      <c r="N33" s="830"/>
      <c r="O33" s="656">
        <v>10540.2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410">
        <v>6235</v>
      </c>
      <c r="AA33" s="411">
        <v>80668</v>
      </c>
      <c r="AB33" s="36">
        <v>59513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724">
        <v>6.1</v>
      </c>
      <c r="H34" s="725"/>
      <c r="I34" s="725"/>
      <c r="J34" s="824"/>
      <c r="K34" s="724">
        <v>5.9</v>
      </c>
      <c r="L34" s="725"/>
      <c r="M34" s="725"/>
      <c r="N34" s="824"/>
      <c r="O34" s="624">
        <v>5.6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418">
        <f>Z32+Z33</f>
        <v>0</v>
      </c>
      <c r="AA34" s="418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724">
        <v>13.9</v>
      </c>
      <c r="H35" s="725"/>
      <c r="I35" s="725"/>
      <c r="J35" s="824"/>
      <c r="K35" s="724">
        <v>15.4</v>
      </c>
      <c r="L35" s="725"/>
      <c r="M35" s="725"/>
      <c r="N35" s="824"/>
      <c r="O35" s="624">
        <v>15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419">
        <v>1000398</v>
      </c>
      <c r="AA35" s="418">
        <f>1086228-0-85319</f>
        <v>1000909</v>
      </c>
      <c r="AB35" s="117">
        <f>1296190-0-302472</f>
        <v>993718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733">
        <v>312</v>
      </c>
      <c r="H36" s="734"/>
      <c r="I36" s="734"/>
      <c r="J36" s="828"/>
      <c r="K36" s="733">
        <v>336.5</v>
      </c>
      <c r="L36" s="734"/>
      <c r="M36" s="734"/>
      <c r="N36" s="828"/>
      <c r="O36" s="648">
        <v>323.1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408">
        <v>530526</v>
      </c>
      <c r="AA36" s="409">
        <f>264704+166624</f>
        <v>431328</v>
      </c>
      <c r="AB36" s="28">
        <f>291819+144338</f>
        <v>436157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724">
        <v>101.5</v>
      </c>
      <c r="H37" s="725"/>
      <c r="I37" s="725"/>
      <c r="J37" s="824"/>
      <c r="K37" s="724">
        <v>105.6</v>
      </c>
      <c r="L37" s="725"/>
      <c r="M37" s="725"/>
      <c r="N37" s="824"/>
      <c r="O37" s="624">
        <v>104.3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420">
        <v>423203</v>
      </c>
      <c r="AA37" s="421">
        <f>257178+152624</f>
        <v>409802</v>
      </c>
      <c r="AB37" s="133">
        <f>281695+130094</f>
        <v>411789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733">
        <v>32331</v>
      </c>
      <c r="H38" s="734"/>
      <c r="I38" s="734"/>
      <c r="J38" s="828"/>
      <c r="K38" s="733">
        <v>34311</v>
      </c>
      <c r="L38" s="734"/>
      <c r="M38" s="734"/>
      <c r="N38" s="828"/>
      <c r="O38" s="648">
        <v>34773.1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422">
        <v>2898295</v>
      </c>
      <c r="AA38" s="423">
        <f>2608396-167054+262892+2638633-2608396+3136</f>
        <v>2737607</v>
      </c>
      <c r="AB38" s="137">
        <f>2630431-157930+388661+2661524-2630431+2569</f>
        <v>2894824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733">
        <v>8310</v>
      </c>
      <c r="H39" s="734"/>
      <c r="I39" s="734"/>
      <c r="J39" s="828"/>
      <c r="K39" s="733">
        <v>8687</v>
      </c>
      <c r="L39" s="734"/>
      <c r="M39" s="734"/>
      <c r="N39" s="828"/>
      <c r="O39" s="648">
        <v>8638.3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408">
        <v>2838589</v>
      </c>
      <c r="AA39" s="409">
        <v>2696947</v>
      </c>
      <c r="AB39" s="28">
        <v>2779488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733">
        <v>20755</v>
      </c>
      <c r="H40" s="734"/>
      <c r="I40" s="734"/>
      <c r="J40" s="828"/>
      <c r="K40" s="733">
        <v>20954</v>
      </c>
      <c r="L40" s="734"/>
      <c r="M40" s="734"/>
      <c r="N40" s="828"/>
      <c r="O40" s="648">
        <f>(2514952-291819)/(28685+77315)*1000</f>
        <v>20972.95283018868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410">
        <v>4763420</v>
      </c>
      <c r="AA40" s="411">
        <v>4770795</v>
      </c>
      <c r="AB40" s="36">
        <v>4896629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733">
        <v>2003</v>
      </c>
      <c r="H41" s="734"/>
      <c r="I41" s="734"/>
      <c r="J41" s="828"/>
      <c r="K41" s="733">
        <f>214456/(29640+77569)*1000</f>
        <v>2000.3544478541912</v>
      </c>
      <c r="L41" s="734"/>
      <c r="M41" s="734"/>
      <c r="N41" s="828"/>
      <c r="O41" s="648">
        <f>212260/(28685+77317)*1000</f>
        <v>2002.4150487726647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410">
        <v>2161206</v>
      </c>
      <c r="AA41" s="411">
        <v>2296469</v>
      </c>
      <c r="AB41" s="36">
        <v>2437331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733">
        <v>24044</v>
      </c>
      <c r="H42" s="734"/>
      <c r="I42" s="734"/>
      <c r="J42" s="828"/>
      <c r="K42" s="733">
        <f>2608396/(29640+77569)*1000</f>
        <v>24330.009607402364</v>
      </c>
      <c r="L42" s="734"/>
      <c r="M42" s="734"/>
      <c r="N42" s="828"/>
      <c r="O42" s="648">
        <f>2630431/(28685+77317)*1000</f>
        <v>24814.918586441767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424">
        <v>1126695</v>
      </c>
      <c r="AA42" s="425">
        <v>1086228</v>
      </c>
      <c r="AB42" s="150">
        <v>1296190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733">
        <v>10328</v>
      </c>
      <c r="H43" s="734"/>
      <c r="I43" s="734"/>
      <c r="J43" s="828"/>
      <c r="K43" s="733">
        <f>1130907/(29640+77569)*1000</f>
        <v>10548.619985262432</v>
      </c>
      <c r="L43" s="734"/>
      <c r="M43" s="734"/>
      <c r="N43" s="828"/>
      <c r="O43" s="648">
        <f>1124291/(28685+77317)*1000</f>
        <v>10606.318748702854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410">
        <v>664985</v>
      </c>
      <c r="AA43" s="411">
        <v>732689</v>
      </c>
      <c r="AB43" s="36">
        <v>934407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733">
        <v>1972</v>
      </c>
      <c r="H44" s="734"/>
      <c r="I44" s="734"/>
      <c r="J44" s="828"/>
      <c r="K44" s="733">
        <f>203136/(29640+77569)*1000</f>
        <v>1894.7662976056115</v>
      </c>
      <c r="L44" s="734"/>
      <c r="M44" s="734"/>
      <c r="N44" s="828"/>
      <c r="O44" s="648">
        <f>203447/(28685+77317)*1000</f>
        <v>1919.2751080168298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426">
        <v>449557</v>
      </c>
      <c r="AA44" s="427">
        <v>343524</v>
      </c>
      <c r="AB44" s="155">
        <v>351302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851">
        <v>-839</v>
      </c>
      <c r="H45" s="852"/>
      <c r="I45" s="852"/>
      <c r="J45" s="853"/>
      <c r="K45" s="851">
        <f>-97259/(29640+77569)*1000</f>
        <v>-907.1906276525292</v>
      </c>
      <c r="L45" s="852"/>
      <c r="M45" s="852"/>
      <c r="N45" s="853"/>
      <c r="O45" s="653">
        <f>-115479/(28685+77317)*1000</f>
        <v>-1089.4039735099336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410">
        <v>12153</v>
      </c>
      <c r="AA45" s="411">
        <v>10015</v>
      </c>
      <c r="AB45" s="36">
        <v>10481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733">
        <v>5</v>
      </c>
      <c r="H46" s="734"/>
      <c r="I46" s="734"/>
      <c r="J46" s="828"/>
      <c r="K46" s="733">
        <f>145/29640*1000</f>
        <v>4.892037786774629</v>
      </c>
      <c r="L46" s="734"/>
      <c r="M46" s="734"/>
      <c r="N46" s="828"/>
      <c r="O46" s="650">
        <f>145/28685*1000</f>
        <v>5.054906745685899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424">
        <v>21077</v>
      </c>
      <c r="AA46" s="425">
        <v>12297</v>
      </c>
      <c r="AB46" s="150">
        <v>14768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733">
        <v>34542</v>
      </c>
      <c r="H47" s="734"/>
      <c r="I47" s="734"/>
      <c r="J47" s="828"/>
      <c r="K47" s="733">
        <f>1818639/(52925-0)*1000</f>
        <v>34362.569674067076</v>
      </c>
      <c r="L47" s="734"/>
      <c r="M47" s="734"/>
      <c r="N47" s="828"/>
      <c r="O47" s="650">
        <f>1787700/(52925-0)*1000</f>
        <v>33777.98771846953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422">
        <f>Z39+Z42+Z46</f>
        <v>3986361</v>
      </c>
      <c r="AA47" s="423">
        <f>AA39+AA42+AA46</f>
        <v>3795472</v>
      </c>
      <c r="AB47" s="137">
        <f>AB39+AB42+AB46</f>
        <v>4090446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42">
        <v>39803</v>
      </c>
      <c r="H48" s="743"/>
      <c r="I48" s="743"/>
      <c r="J48" s="850"/>
      <c r="K48" s="742">
        <f>2102876/(52925-0)*1000</f>
        <v>39733.131790269246</v>
      </c>
      <c r="L48" s="743"/>
      <c r="M48" s="743"/>
      <c r="N48" s="850"/>
      <c r="O48" s="702">
        <f>2108087/52925*1000</f>
        <v>39831.591875295235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408"/>
      <c r="AA48" s="409">
        <v>0</v>
      </c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7">
        <v>43</v>
      </c>
      <c r="H49" s="728"/>
      <c r="I49" s="728"/>
      <c r="J49" s="825"/>
      <c r="K49" s="727">
        <f>1130907/2608209*100</f>
        <v>43.359523719149806</v>
      </c>
      <c r="L49" s="728"/>
      <c r="M49" s="728"/>
      <c r="N49" s="825"/>
      <c r="O49" s="635">
        <f>(1124291/2629709*100)-0.1</f>
        <v>42.65343773778772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410">
        <v>126297</v>
      </c>
      <c r="AA49" s="411">
        <v>85319</v>
      </c>
      <c r="AB49" s="36">
        <v>302472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4">
        <v>0.8</v>
      </c>
      <c r="H50" s="725"/>
      <c r="I50" s="725"/>
      <c r="J50" s="824"/>
      <c r="K50" s="724">
        <f>19232/2608209*100</f>
        <v>0.7373642219622737</v>
      </c>
      <c r="L50" s="725"/>
      <c r="M50" s="725"/>
      <c r="N50" s="824"/>
      <c r="O50" s="624">
        <f>17346/2629709*100</f>
        <v>0.6596167104421059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410"/>
      <c r="AA50" s="411">
        <v>0</v>
      </c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4">
        <v>6</v>
      </c>
      <c r="H51" s="725"/>
      <c r="I51" s="725"/>
      <c r="J51" s="824"/>
      <c r="K51" s="724">
        <f>167054/2608209*100</f>
        <v>6.4049315066392305</v>
      </c>
      <c r="L51" s="725"/>
      <c r="M51" s="725"/>
      <c r="N51" s="824"/>
      <c r="O51" s="624">
        <f>157930/2629709*100</f>
        <v>6.0056074645521615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420">
        <v>117875</v>
      </c>
      <c r="AA51" s="421">
        <v>76873</v>
      </c>
      <c r="AB51" s="133">
        <v>293792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4">
        <v>11.8</v>
      </c>
      <c r="H52" s="725"/>
      <c r="I52" s="725"/>
      <c r="J52" s="824"/>
      <c r="K52" s="724">
        <f>298373/2608209*100</f>
        <v>11.439765754968256</v>
      </c>
      <c r="L52" s="725"/>
      <c r="M52" s="725"/>
      <c r="N52" s="824"/>
      <c r="O52" s="624">
        <f>(290985+145)/2629709*100</f>
        <v>11.070806693820495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428">
        <f>Z48+Z49</f>
        <v>126297</v>
      </c>
      <c r="AA52" s="429">
        <f>AA48+AA49</f>
        <v>85319</v>
      </c>
      <c r="AB52" s="170">
        <f>AB48+AB49</f>
        <v>302472</v>
      </c>
    </row>
    <row r="53" spans="1:35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0">
        <v>38.4</v>
      </c>
      <c r="H53" s="731"/>
      <c r="I53" s="731"/>
      <c r="J53" s="826"/>
      <c r="K53" s="730">
        <f>(2608209-1130907-19232-167054-298373)/2608209*100</f>
        <v>38.058414797280435</v>
      </c>
      <c r="L53" s="731"/>
      <c r="M53" s="731"/>
      <c r="N53" s="826"/>
      <c r="O53" s="639">
        <f>(2629709-1124291-17346-157930-290985-145)/2629709*100</f>
        <v>39.51053139339752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408">
        <v>4225643</v>
      </c>
      <c r="AA53" s="409">
        <v>4166720</v>
      </c>
      <c r="AB53" s="28">
        <v>4315531</v>
      </c>
      <c r="AI53" s="44">
        <v>1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7">
        <v>62.1</v>
      </c>
      <c r="H54" s="728"/>
      <c r="I54" s="728"/>
      <c r="J54" s="825"/>
      <c r="K54" s="727">
        <f>(3006278-456567)/3795472*100</f>
        <v>67.17770543426484</v>
      </c>
      <c r="L54" s="728"/>
      <c r="M54" s="728"/>
      <c r="N54" s="825"/>
      <c r="O54" s="635">
        <f>(3107991-527557)/4090446*100</f>
        <v>63.084416711527304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410">
        <v>2839655</v>
      </c>
      <c r="AA54" s="411">
        <v>3006278</v>
      </c>
      <c r="AB54" s="36">
        <v>3107991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4">
        <v>892.1</v>
      </c>
      <c r="H55" s="725"/>
      <c r="I55" s="725"/>
      <c r="J55" s="824"/>
      <c r="K55" s="724">
        <f>1086228/85319*100</f>
        <v>1273.1372847783027</v>
      </c>
      <c r="L55" s="725"/>
      <c r="M55" s="725"/>
      <c r="N55" s="824"/>
      <c r="O55" s="624">
        <f>1296190/302472*100</f>
        <v>428.53222777645533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410">
        <v>1385988</v>
      </c>
      <c r="AA55" s="411">
        <v>1160442</v>
      </c>
      <c r="AB55" s="36">
        <v>1207540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4">
        <v>96.5</v>
      </c>
      <c r="H56" s="725"/>
      <c r="I56" s="725"/>
      <c r="J56" s="824"/>
      <c r="K56" s="724">
        <f>(1818639+691447)/(2102876+505333)*100</f>
        <v>96.23791651665951</v>
      </c>
      <c r="L56" s="725"/>
      <c r="M56" s="725"/>
      <c r="N56" s="824"/>
      <c r="O56" s="624">
        <f>(1787700+726966)/(2108087+521622)*100</f>
        <v>95.62525739540003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410"/>
      <c r="AA56" s="411">
        <v>0</v>
      </c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4">
        <v>86.8</v>
      </c>
      <c r="H57" s="725"/>
      <c r="I57" s="725"/>
      <c r="J57" s="824"/>
      <c r="K57" s="724">
        <f>1818639/2102876*100</f>
        <v>86.48341604545394</v>
      </c>
      <c r="L57" s="725"/>
      <c r="M57" s="725"/>
      <c r="N57" s="824"/>
      <c r="O57" s="624">
        <f>1787700/2108087*100</f>
        <v>84.80200295338854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477">
        <v>-365579</v>
      </c>
      <c r="AA57" s="478">
        <v>-456567</v>
      </c>
      <c r="AB57" s="180">
        <v>-527557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4">
        <v>60.9</v>
      </c>
      <c r="H58" s="725"/>
      <c r="I58" s="725"/>
      <c r="J58" s="824"/>
      <c r="K58" s="724">
        <f>1213754/1818639*100</f>
        <v>66.73968830537561</v>
      </c>
      <c r="L58" s="725"/>
      <c r="M58" s="725"/>
      <c r="N58" s="824"/>
      <c r="O58" s="624">
        <f>1329233/1787700*100</f>
        <v>74.35436594506908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410">
        <v>739416</v>
      </c>
      <c r="AA58" s="411">
        <v>745687</v>
      </c>
      <c r="AB58" s="36">
        <v>790176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4"/>
      <c r="H59" s="725"/>
      <c r="I59" s="725"/>
      <c r="J59" s="824"/>
      <c r="K59" s="724">
        <f>0/1818639*100</f>
        <v>0</v>
      </c>
      <c r="L59" s="725"/>
      <c r="M59" s="725"/>
      <c r="N59" s="824"/>
      <c r="O59" s="624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410">
        <v>11500</v>
      </c>
      <c r="AA59" s="411">
        <f>2500+0+9000+0</f>
        <v>11500</v>
      </c>
      <c r="AB59" s="36">
        <f>2500+9000</f>
        <v>11500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4">
        <v>14</v>
      </c>
      <c r="H60" s="725"/>
      <c r="I60" s="725"/>
      <c r="J60" s="824"/>
      <c r="K60" s="724">
        <f>229146/1818639*100</f>
        <v>12.599861764759252</v>
      </c>
      <c r="L60" s="725"/>
      <c r="M60" s="725"/>
      <c r="N60" s="824"/>
      <c r="O60" s="624">
        <f>134603/1787700*100</f>
        <v>7.529395312412597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483">
        <v>-1116495</v>
      </c>
      <c r="AA60" s="484">
        <v>-1213754</v>
      </c>
      <c r="AB60" s="183">
        <v>-1329233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4">
        <v>1.2</v>
      </c>
      <c r="H61" s="725"/>
      <c r="I61" s="725"/>
      <c r="J61" s="824"/>
      <c r="K61" s="724">
        <f>19232/1818639*100</f>
        <v>1.0574940931102874</v>
      </c>
      <c r="L61" s="725"/>
      <c r="M61" s="725"/>
      <c r="N61" s="824"/>
      <c r="O61" s="624">
        <f>17346/1787700*100</f>
        <v>0.9702970297029703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428">
        <f>Z53+Z57</f>
        <v>3860064</v>
      </c>
      <c r="AA61" s="429">
        <f>AA53+AA57</f>
        <v>3710153</v>
      </c>
      <c r="AB61" s="170">
        <f>AB53+AB57</f>
        <v>3787974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4">
        <v>15.2</v>
      </c>
      <c r="H62" s="725"/>
      <c r="I62" s="725"/>
      <c r="J62" s="824"/>
      <c r="K62" s="724">
        <f>(229146+19232)/1818639*100</f>
        <v>13.657355857869538</v>
      </c>
      <c r="L62" s="725"/>
      <c r="M62" s="725"/>
      <c r="N62" s="824"/>
      <c r="O62" s="624">
        <v>8.49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4">
        <v>61.4</v>
      </c>
      <c r="H63" s="725"/>
      <c r="I63" s="725"/>
      <c r="J63" s="824"/>
      <c r="K63" s="724">
        <f>1130907/1818639*100</f>
        <v>62.18424877064662</v>
      </c>
      <c r="L63" s="725"/>
      <c r="M63" s="725"/>
      <c r="N63" s="824"/>
      <c r="O63" s="624">
        <f>1124291/1787700*100</f>
        <v>62.890361917547686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0">
        <v>16.9</v>
      </c>
      <c r="H64" s="731"/>
      <c r="I64" s="731"/>
      <c r="J64" s="826"/>
      <c r="K64" s="730">
        <f>298373/1818639*100</f>
        <v>16.40638961333173</v>
      </c>
      <c r="L64" s="731"/>
      <c r="M64" s="731"/>
      <c r="N64" s="826"/>
      <c r="O64" s="639">
        <f>290985/1787700*100</f>
        <v>16.27705990938077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431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/>
      <c r="H6" s="691"/>
      <c r="I6" s="691"/>
      <c r="J6" s="691"/>
      <c r="K6" s="691"/>
      <c r="L6" s="693" t="s">
        <v>10</v>
      </c>
      <c r="M6" s="693"/>
      <c r="N6" s="693"/>
      <c r="O6" s="184"/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v>79684</v>
      </c>
      <c r="AA6" s="27">
        <v>74686</v>
      </c>
      <c r="AB6" s="28">
        <v>29931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399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v>79684</v>
      </c>
      <c r="AA7" s="35">
        <v>74686</v>
      </c>
      <c r="AB7" s="36">
        <v>29931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/>
      <c r="AA8" s="35"/>
      <c r="AB8" s="36"/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/>
      <c r="AA9" s="35"/>
      <c r="AB9" s="36"/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0</v>
      </c>
      <c r="H10" s="49" t="s">
        <v>181</v>
      </c>
      <c r="I10" s="50">
        <f>SUM(I11:I15)</f>
        <v>0</v>
      </c>
      <c r="J10" s="51" t="s">
        <v>173</v>
      </c>
      <c r="K10" s="52">
        <f>SUM(K11:K15)</f>
        <v>0</v>
      </c>
      <c r="L10" s="53" t="s">
        <v>181</v>
      </c>
      <c r="M10" s="48">
        <f>SUM(M11:M15)</f>
        <v>0</v>
      </c>
      <c r="N10" s="51" t="s">
        <v>173</v>
      </c>
      <c r="O10" s="52">
        <f>SUM(O11:O15)</f>
        <v>0</v>
      </c>
      <c r="P10" s="53" t="s">
        <v>181</v>
      </c>
      <c r="Q10" s="48">
        <f>SUM(Q11:Q15)</f>
        <v>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/>
      <c r="AA10" s="35"/>
      <c r="AB10" s="36"/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/>
      <c r="H11" s="59" t="s">
        <v>181</v>
      </c>
      <c r="I11" s="60"/>
      <c r="J11" s="61" t="s">
        <v>173</v>
      </c>
      <c r="K11" s="62"/>
      <c r="L11" s="63" t="s">
        <v>181</v>
      </c>
      <c r="M11" s="58"/>
      <c r="N11" s="61" t="s">
        <v>173</v>
      </c>
      <c r="O11" s="62"/>
      <c r="P11" s="63" t="s">
        <v>181</v>
      </c>
      <c r="Q11" s="58"/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79684</v>
      </c>
      <c r="AA12" s="35">
        <v>74686</v>
      </c>
      <c r="AB12" s="36">
        <v>29931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36644</v>
      </c>
      <c r="AA13" s="35">
        <v>32908</v>
      </c>
      <c r="AB13" s="36">
        <v>29893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v>79599</v>
      </c>
      <c r="AA15" s="35">
        <v>74624</v>
      </c>
      <c r="AB15" s="36">
        <v>29894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/>
      <c r="H16" s="673"/>
      <c r="I16" s="673"/>
      <c r="J16" s="674"/>
      <c r="K16" s="675"/>
      <c r="L16" s="673"/>
      <c r="M16" s="673"/>
      <c r="N16" s="674"/>
      <c r="O16" s="675"/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v>79599</v>
      </c>
      <c r="AA16" s="35">
        <v>74624</v>
      </c>
      <c r="AB16" s="36">
        <v>29894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/>
      <c r="H17" s="677"/>
      <c r="I17" s="677"/>
      <c r="J17" s="678"/>
      <c r="K17" s="679"/>
      <c r="L17" s="677"/>
      <c r="M17" s="677"/>
      <c r="N17" s="678"/>
      <c r="O17" s="679"/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/>
      <c r="AA17" s="35"/>
      <c r="AB17" s="36"/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/>
      <c r="H18" s="663"/>
      <c r="I18" s="663"/>
      <c r="J18" s="664"/>
      <c r="K18" s="665"/>
      <c r="L18" s="663"/>
      <c r="M18" s="663"/>
      <c r="N18" s="664"/>
      <c r="O18" s="665"/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/>
      <c r="AA18" s="35"/>
      <c r="AB18" s="36"/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/>
      <c r="AA19" s="35"/>
      <c r="AB19" s="36"/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/>
      <c r="H20" s="85" t="s">
        <v>181</v>
      </c>
      <c r="I20" s="185"/>
      <c r="J20" s="87" t="s">
        <v>173</v>
      </c>
      <c r="K20" s="88"/>
      <c r="L20" s="89" t="s">
        <v>181</v>
      </c>
      <c r="M20" s="185"/>
      <c r="N20" s="87" t="s">
        <v>173</v>
      </c>
      <c r="O20" s="88"/>
      <c r="P20" s="89" t="s">
        <v>181</v>
      </c>
      <c r="Q20" s="185"/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/>
      <c r="AA20" s="35"/>
      <c r="AB20" s="36"/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/>
      <c r="H21" s="85" t="s">
        <v>181</v>
      </c>
      <c r="I21" s="91"/>
      <c r="J21" s="87" t="s">
        <v>173</v>
      </c>
      <c r="K21" s="88"/>
      <c r="L21" s="89" t="s">
        <v>181</v>
      </c>
      <c r="M21" s="91"/>
      <c r="N21" s="87" t="s">
        <v>173</v>
      </c>
      <c r="O21" s="88"/>
      <c r="P21" s="89" t="s">
        <v>181</v>
      </c>
      <c r="Q21" s="91"/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79599</v>
      </c>
      <c r="AA21" s="35">
        <v>74624</v>
      </c>
      <c r="AB21" s="36">
        <v>29894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/>
      <c r="H22" s="85" t="s">
        <v>181</v>
      </c>
      <c r="I22" s="91"/>
      <c r="J22" s="87" t="s">
        <v>173</v>
      </c>
      <c r="K22" s="88"/>
      <c r="L22" s="89" t="s">
        <v>181</v>
      </c>
      <c r="M22" s="91"/>
      <c r="N22" s="87" t="s">
        <v>173</v>
      </c>
      <c r="O22" s="88"/>
      <c r="P22" s="89" t="s">
        <v>181</v>
      </c>
      <c r="Q22" s="91"/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36644</v>
      </c>
      <c r="AA22" s="35">
        <v>32908</v>
      </c>
      <c r="AB22" s="36">
        <v>29893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/>
      <c r="H23" s="77" t="s">
        <v>181</v>
      </c>
      <c r="I23" s="96"/>
      <c r="J23" s="97" t="s">
        <v>173</v>
      </c>
      <c r="K23" s="98"/>
      <c r="L23" s="99" t="s">
        <v>181</v>
      </c>
      <c r="M23" s="96"/>
      <c r="N23" s="97" t="s">
        <v>173</v>
      </c>
      <c r="O23" s="98"/>
      <c r="P23" s="99" t="s">
        <v>181</v>
      </c>
      <c r="Q23" s="96"/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/>
      <c r="AB23" s="36"/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/>
      <c r="H24" s="696"/>
      <c r="I24" s="696"/>
      <c r="J24" s="697"/>
      <c r="K24" s="698"/>
      <c r="L24" s="696"/>
      <c r="M24" s="696"/>
      <c r="N24" s="697"/>
      <c r="O24" s="698"/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85</v>
      </c>
      <c r="AA24" s="101">
        <f>AA7-AA16</f>
        <v>62</v>
      </c>
      <c r="AB24" s="102">
        <f>AB7-AB16</f>
        <v>37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/>
      <c r="H25" s="624"/>
      <c r="I25" s="624"/>
      <c r="J25" s="625"/>
      <c r="K25" s="626"/>
      <c r="L25" s="624"/>
      <c r="M25" s="624"/>
      <c r="N25" s="625"/>
      <c r="O25" s="626"/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85</v>
      </c>
      <c r="AA25" s="107">
        <f>AA6-AA15</f>
        <v>62</v>
      </c>
      <c r="AB25" s="108">
        <f>AB6-AB15</f>
        <v>37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/>
      <c r="H26" s="624"/>
      <c r="I26" s="624"/>
      <c r="J26" s="625"/>
      <c r="K26" s="626"/>
      <c r="L26" s="624"/>
      <c r="M26" s="624"/>
      <c r="N26" s="625"/>
      <c r="O26" s="626"/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284542</v>
      </c>
      <c r="AA26" s="27">
        <v>160579</v>
      </c>
      <c r="AB26" s="28">
        <v>131792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/>
      <c r="H27" s="624"/>
      <c r="I27" s="624"/>
      <c r="J27" s="625"/>
      <c r="K27" s="626"/>
      <c r="L27" s="624"/>
      <c r="M27" s="624"/>
      <c r="N27" s="625"/>
      <c r="O27" s="626"/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/>
      <c r="H28" s="648"/>
      <c r="I28" s="648"/>
      <c r="J28" s="649"/>
      <c r="K28" s="650"/>
      <c r="L28" s="648"/>
      <c r="M28" s="648"/>
      <c r="N28" s="649"/>
      <c r="O28" s="650"/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284542</v>
      </c>
      <c r="AA28" s="35">
        <v>160579</v>
      </c>
      <c r="AB28" s="36">
        <v>131792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/>
      <c r="H29" s="648"/>
      <c r="I29" s="648"/>
      <c r="J29" s="649"/>
      <c r="K29" s="650"/>
      <c r="L29" s="648"/>
      <c r="M29" s="648"/>
      <c r="N29" s="649"/>
      <c r="O29" s="650"/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284542</v>
      </c>
      <c r="AA29" s="35">
        <v>160579</v>
      </c>
      <c r="AB29" s="36">
        <v>131792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/>
      <c r="H30" s="656"/>
      <c r="I30" s="656"/>
      <c r="J30" s="657"/>
      <c r="K30" s="658"/>
      <c r="L30" s="656"/>
      <c r="M30" s="656"/>
      <c r="N30" s="657"/>
      <c r="O30" s="658"/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/>
      <c r="AA30" s="35"/>
      <c r="AB30" s="36"/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/>
      <c r="H31" s="656"/>
      <c r="I31" s="656"/>
      <c r="J31" s="657"/>
      <c r="K31" s="658"/>
      <c r="L31" s="656"/>
      <c r="M31" s="656"/>
      <c r="N31" s="657"/>
      <c r="O31" s="658"/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284542</v>
      </c>
      <c r="AA31" s="35">
        <v>160579</v>
      </c>
      <c r="AB31" s="36">
        <v>131792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/>
      <c r="H32" s="624"/>
      <c r="I32" s="624"/>
      <c r="J32" s="625"/>
      <c r="K32" s="626"/>
      <c r="L32" s="624"/>
      <c r="M32" s="624"/>
      <c r="N32" s="625"/>
      <c r="O32" s="626"/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00">
        <f>Z26-Z29</f>
        <v>0</v>
      </c>
      <c r="AA32" s="101">
        <f>AA26-AA29</f>
        <v>0</v>
      </c>
      <c r="AB32" s="102">
        <f>AB26-AB29</f>
        <v>0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/>
      <c r="H33" s="656"/>
      <c r="I33" s="656"/>
      <c r="J33" s="657"/>
      <c r="K33" s="658"/>
      <c r="L33" s="656"/>
      <c r="M33" s="656"/>
      <c r="N33" s="657"/>
      <c r="O33" s="658"/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/>
      <c r="AA33" s="35"/>
      <c r="AB33" s="36"/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/>
      <c r="H34" s="624"/>
      <c r="I34" s="624"/>
      <c r="J34" s="625"/>
      <c r="K34" s="626"/>
      <c r="L34" s="624"/>
      <c r="M34" s="624"/>
      <c r="N34" s="625"/>
      <c r="O34" s="626"/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/>
      <c r="H35" s="624"/>
      <c r="I35" s="624"/>
      <c r="J35" s="625"/>
      <c r="K35" s="626"/>
      <c r="L35" s="624"/>
      <c r="M35" s="624"/>
      <c r="N35" s="625"/>
      <c r="O35" s="626"/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/>
      <c r="AA35" s="123"/>
      <c r="AB35" s="117"/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/>
      <c r="H36" s="648"/>
      <c r="I36" s="648"/>
      <c r="J36" s="649"/>
      <c r="K36" s="650"/>
      <c r="L36" s="648"/>
      <c r="M36" s="648"/>
      <c r="N36" s="649"/>
      <c r="O36" s="650"/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321186</v>
      </c>
      <c r="AA36" s="27">
        <v>193487</v>
      </c>
      <c r="AB36" s="28">
        <v>161685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/>
      <c r="H37" s="624"/>
      <c r="I37" s="624"/>
      <c r="J37" s="625"/>
      <c r="K37" s="626"/>
      <c r="L37" s="624"/>
      <c r="M37" s="624"/>
      <c r="N37" s="625"/>
      <c r="O37" s="626"/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321186</v>
      </c>
      <c r="AA37" s="132">
        <v>193487</v>
      </c>
      <c r="AB37" s="133">
        <v>161685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/>
      <c r="H38" s="648"/>
      <c r="I38" s="648"/>
      <c r="J38" s="649"/>
      <c r="K38" s="650"/>
      <c r="L38" s="648"/>
      <c r="M38" s="648"/>
      <c r="N38" s="649"/>
      <c r="O38" s="650"/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443740</v>
      </c>
      <c r="AA38" s="136">
        <v>309827</v>
      </c>
      <c r="AB38" s="137">
        <v>191580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/>
      <c r="H39" s="648"/>
      <c r="I39" s="648"/>
      <c r="J39" s="649"/>
      <c r="K39" s="650"/>
      <c r="L39" s="648"/>
      <c r="M39" s="648"/>
      <c r="N39" s="649"/>
      <c r="O39" s="650"/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/>
      <c r="AA39" s="27"/>
      <c r="AB39" s="28"/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/>
      <c r="H40" s="648"/>
      <c r="I40" s="648"/>
      <c r="J40" s="649"/>
      <c r="K40" s="650"/>
      <c r="L40" s="648"/>
      <c r="M40" s="648"/>
      <c r="N40" s="649"/>
      <c r="O40" s="650"/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/>
      <c r="AA40" s="35"/>
      <c r="AB40" s="36"/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/>
      <c r="H41" s="648"/>
      <c r="I41" s="648"/>
      <c r="J41" s="649"/>
      <c r="K41" s="650"/>
      <c r="L41" s="648"/>
      <c r="M41" s="648"/>
      <c r="N41" s="649"/>
      <c r="O41" s="650"/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/>
      <c r="AA41" s="35"/>
      <c r="AB41" s="36"/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/>
      <c r="H42" s="648"/>
      <c r="I42" s="648"/>
      <c r="J42" s="649"/>
      <c r="K42" s="650"/>
      <c r="L42" s="648"/>
      <c r="M42" s="648"/>
      <c r="N42" s="649"/>
      <c r="O42" s="650"/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/>
      <c r="AA42" s="149"/>
      <c r="AB42" s="150"/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/>
      <c r="H43" s="648"/>
      <c r="I43" s="648"/>
      <c r="J43" s="649"/>
      <c r="K43" s="650"/>
      <c r="L43" s="648"/>
      <c r="M43" s="648"/>
      <c r="N43" s="649"/>
      <c r="O43" s="650"/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/>
      <c r="AA43" s="35"/>
      <c r="AB43" s="36"/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/>
      <c r="H44" s="648"/>
      <c r="I44" s="648"/>
      <c r="J44" s="649"/>
      <c r="K44" s="650"/>
      <c r="L44" s="648"/>
      <c r="M44" s="648"/>
      <c r="N44" s="649"/>
      <c r="O44" s="650"/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/>
      <c r="AA44" s="154"/>
      <c r="AB44" s="155"/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/>
      <c r="H45" s="648"/>
      <c r="I45" s="648"/>
      <c r="J45" s="649"/>
      <c r="K45" s="650"/>
      <c r="L45" s="648"/>
      <c r="M45" s="648"/>
      <c r="N45" s="649"/>
      <c r="O45" s="650"/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/>
      <c r="AA45" s="35"/>
      <c r="AB45" s="36"/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/>
      <c r="AA46" s="149"/>
      <c r="AB46" s="150"/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/>
      <c r="H47" s="648"/>
      <c r="I47" s="648"/>
      <c r="J47" s="649"/>
      <c r="K47" s="650"/>
      <c r="L47" s="648"/>
      <c r="M47" s="648"/>
      <c r="N47" s="649"/>
      <c r="O47" s="650"/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0</v>
      </c>
      <c r="AA47" s="136">
        <f>AA39+AA42+AA46</f>
        <v>0</v>
      </c>
      <c r="AB47" s="137">
        <f>AB39+AB42+AB46</f>
        <v>0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/>
      <c r="H48" s="700"/>
      <c r="I48" s="700"/>
      <c r="J48" s="701"/>
      <c r="K48" s="702"/>
      <c r="L48" s="700"/>
      <c r="M48" s="700"/>
      <c r="N48" s="701"/>
      <c r="O48" s="702"/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/>
      <c r="H49" s="635"/>
      <c r="I49" s="635"/>
      <c r="J49" s="636"/>
      <c r="K49" s="637"/>
      <c r="L49" s="635"/>
      <c r="M49" s="635"/>
      <c r="N49" s="636"/>
      <c r="O49" s="637"/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/>
      <c r="AA49" s="35"/>
      <c r="AB49" s="36"/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46</v>
      </c>
      <c r="H50" s="624"/>
      <c r="I50" s="624"/>
      <c r="J50" s="625"/>
      <c r="K50" s="626">
        <v>44.1</v>
      </c>
      <c r="L50" s="624"/>
      <c r="M50" s="624"/>
      <c r="N50" s="625"/>
      <c r="O50" s="626">
        <v>100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/>
      <c r="H51" s="624"/>
      <c r="I51" s="624"/>
      <c r="J51" s="625"/>
      <c r="K51" s="626"/>
      <c r="L51" s="624"/>
      <c r="M51" s="624"/>
      <c r="N51" s="625"/>
      <c r="O51" s="626"/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/>
      <c r="AA51" s="132"/>
      <c r="AB51" s="133"/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/>
      <c r="H52" s="624"/>
      <c r="I52" s="624"/>
      <c r="J52" s="625"/>
      <c r="K52" s="626"/>
      <c r="L52" s="624"/>
      <c r="M52" s="624"/>
      <c r="N52" s="625"/>
      <c r="O52" s="626"/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0</v>
      </c>
      <c r="AA52" s="169">
        <f>AA48+AA49</f>
        <v>0</v>
      </c>
      <c r="AB52" s="170">
        <f>AB48+AB49</f>
        <v>0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54</v>
      </c>
      <c r="H53" s="639"/>
      <c r="I53" s="639"/>
      <c r="J53" s="640"/>
      <c r="K53" s="641">
        <v>55.9</v>
      </c>
      <c r="L53" s="639"/>
      <c r="M53" s="639"/>
      <c r="N53" s="640"/>
      <c r="O53" s="641">
        <v>0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/>
      <c r="AA53" s="27"/>
      <c r="AB53" s="28"/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/>
      <c r="H54" s="635"/>
      <c r="I54" s="635"/>
      <c r="J54" s="636"/>
      <c r="K54" s="637"/>
      <c r="L54" s="635"/>
      <c r="M54" s="635"/>
      <c r="N54" s="636"/>
      <c r="O54" s="637"/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/>
      <c r="AA54" s="35"/>
      <c r="AB54" s="36"/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/>
      <c r="H55" s="624"/>
      <c r="I55" s="624"/>
      <c r="J55" s="625"/>
      <c r="K55" s="626"/>
      <c r="L55" s="624"/>
      <c r="M55" s="624"/>
      <c r="N55" s="625"/>
      <c r="O55" s="626"/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/>
      <c r="AA55" s="35"/>
      <c r="AB55" s="36"/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100.1</v>
      </c>
      <c r="H56" s="624"/>
      <c r="I56" s="624"/>
      <c r="J56" s="625"/>
      <c r="K56" s="626">
        <v>100.1</v>
      </c>
      <c r="L56" s="624"/>
      <c r="M56" s="624"/>
      <c r="N56" s="625"/>
      <c r="O56" s="626">
        <v>100.1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/>
      <c r="H57" s="624"/>
      <c r="I57" s="624"/>
      <c r="J57" s="625"/>
      <c r="K57" s="626"/>
      <c r="L57" s="624"/>
      <c r="M57" s="624"/>
      <c r="N57" s="625"/>
      <c r="O57" s="626"/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/>
      <c r="AA57" s="35"/>
      <c r="AB57" s="36"/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/>
      <c r="H58" s="624"/>
      <c r="I58" s="624"/>
      <c r="J58" s="625"/>
      <c r="K58" s="626"/>
      <c r="L58" s="624"/>
      <c r="M58" s="624"/>
      <c r="N58" s="625"/>
      <c r="O58" s="626"/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/>
      <c r="AA58" s="35"/>
      <c r="AB58" s="36"/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/>
      <c r="H60" s="624"/>
      <c r="I60" s="624"/>
      <c r="J60" s="625"/>
      <c r="K60" s="626"/>
      <c r="L60" s="624"/>
      <c r="M60" s="624"/>
      <c r="N60" s="625"/>
      <c r="O60" s="626"/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/>
      <c r="AA60" s="107"/>
      <c r="AB60" s="108"/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/>
      <c r="H61" s="624"/>
      <c r="I61" s="624"/>
      <c r="J61" s="625"/>
      <c r="K61" s="626"/>
      <c r="L61" s="624"/>
      <c r="M61" s="624"/>
      <c r="N61" s="625"/>
      <c r="O61" s="626"/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0</v>
      </c>
      <c r="AA61" s="169">
        <f>AA53+AA57</f>
        <v>0</v>
      </c>
      <c r="AB61" s="170">
        <f>AB53+AB57</f>
        <v>0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/>
      <c r="H62" s="624"/>
      <c r="I62" s="624"/>
      <c r="J62" s="625"/>
      <c r="K62" s="626"/>
      <c r="L62" s="624"/>
      <c r="M62" s="624"/>
      <c r="N62" s="625"/>
      <c r="O62" s="626"/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/>
      <c r="H63" s="624"/>
      <c r="I63" s="624"/>
      <c r="J63" s="625"/>
      <c r="K63" s="626"/>
      <c r="L63" s="624"/>
      <c r="M63" s="624"/>
      <c r="N63" s="625"/>
      <c r="O63" s="626"/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/>
      <c r="H64" s="639"/>
      <c r="I64" s="639"/>
      <c r="J64" s="640"/>
      <c r="K64" s="641"/>
      <c r="L64" s="639"/>
      <c r="M64" s="639"/>
      <c r="N64" s="640"/>
      <c r="O64" s="641"/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432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19329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24929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2137998</v>
      </c>
      <c r="AA6" s="26">
        <f>AA7+AA14</f>
        <v>2221124</v>
      </c>
      <c r="AB6" s="26">
        <f>AB7+AB14</f>
        <v>2250630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400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2137998</v>
      </c>
      <c r="AA7" s="35">
        <f>AA8+AA12</f>
        <v>2190967</v>
      </c>
      <c r="AB7" s="36">
        <f>AB8+AB12</f>
        <v>2250630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401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1981444</v>
      </c>
      <c r="AA8" s="35">
        <v>2074873</v>
      </c>
      <c r="AB8" s="36">
        <v>2140876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1144597</v>
      </c>
      <c r="AA9" s="35">
        <v>1139179</v>
      </c>
      <c r="AB9" s="36">
        <v>1122952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99</v>
      </c>
      <c r="H10" s="49" t="s">
        <v>181</v>
      </c>
      <c r="I10" s="50">
        <v>99</v>
      </c>
      <c r="J10" s="51" t="s">
        <v>173</v>
      </c>
      <c r="K10" s="52">
        <v>99</v>
      </c>
      <c r="L10" s="53" t="s">
        <v>181</v>
      </c>
      <c r="M10" s="48">
        <v>99</v>
      </c>
      <c r="N10" s="51" t="s">
        <v>173</v>
      </c>
      <c r="O10" s="52">
        <v>99</v>
      </c>
      <c r="P10" s="53" t="s">
        <v>181</v>
      </c>
      <c r="Q10" s="48">
        <v>99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631273</v>
      </c>
      <c r="AA10" s="35">
        <v>714726</v>
      </c>
      <c r="AB10" s="36">
        <v>802055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99</v>
      </c>
      <c r="H11" s="59" t="s">
        <v>181</v>
      </c>
      <c r="I11" s="60">
        <v>99</v>
      </c>
      <c r="J11" s="61" t="s">
        <v>173</v>
      </c>
      <c r="K11" s="62">
        <v>99</v>
      </c>
      <c r="L11" s="63" t="s">
        <v>181</v>
      </c>
      <c r="M11" s="58">
        <v>99</v>
      </c>
      <c r="N11" s="61" t="s">
        <v>173</v>
      </c>
      <c r="O11" s="62">
        <v>99</v>
      </c>
      <c r="P11" s="63" t="s">
        <v>181</v>
      </c>
      <c r="Q11" s="58">
        <v>99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120696</v>
      </c>
      <c r="AA11" s="35">
        <v>141040</v>
      </c>
      <c r="AB11" s="36">
        <v>134175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156554</v>
      </c>
      <c r="AA12" s="35">
        <v>116094</v>
      </c>
      <c r="AB12" s="36">
        <v>109754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145271</v>
      </c>
      <c r="AA13" s="35">
        <v>104085</v>
      </c>
      <c r="AB13" s="36">
        <v>102006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>
        <v>30157</v>
      </c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2175616</v>
      </c>
      <c r="AA15" s="35">
        <f>AA16+AA23</f>
        <v>2185136</v>
      </c>
      <c r="AB15" s="36">
        <f>AB16+AB23</f>
        <v>2238012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22</v>
      </c>
      <c r="H16" s="673"/>
      <c r="I16" s="673"/>
      <c r="J16" s="674"/>
      <c r="K16" s="675">
        <v>22</v>
      </c>
      <c r="L16" s="673"/>
      <c r="M16" s="673"/>
      <c r="N16" s="674"/>
      <c r="O16" s="675">
        <v>22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2175616</v>
      </c>
      <c r="AA16" s="35">
        <f>AA17+AA21</f>
        <v>2185136</v>
      </c>
      <c r="AB16" s="36">
        <f>AB17+AB21</f>
        <v>2238012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2</v>
      </c>
      <c r="H17" s="677"/>
      <c r="I17" s="677"/>
      <c r="J17" s="678"/>
      <c r="K17" s="679">
        <v>2</v>
      </c>
      <c r="L17" s="677"/>
      <c r="M17" s="677"/>
      <c r="N17" s="678"/>
      <c r="O17" s="679">
        <v>2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2070733</v>
      </c>
      <c r="AA17" s="35">
        <v>2080174</v>
      </c>
      <c r="AB17" s="36">
        <v>2140114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5856</v>
      </c>
      <c r="H18" s="663"/>
      <c r="I18" s="663"/>
      <c r="J18" s="664"/>
      <c r="K18" s="665">
        <v>5856</v>
      </c>
      <c r="L18" s="663"/>
      <c r="M18" s="663"/>
      <c r="N18" s="664"/>
      <c r="O18" s="665">
        <v>5856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992383</v>
      </c>
      <c r="AA18" s="35">
        <v>1006735</v>
      </c>
      <c r="AB18" s="36">
        <v>1004309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556603</v>
      </c>
      <c r="AA19" s="35">
        <v>597809</v>
      </c>
      <c r="AB19" s="36">
        <v>660105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144</v>
      </c>
      <c r="H20" s="85" t="s">
        <v>181</v>
      </c>
      <c r="I20" s="91">
        <f>G20/G10*100</f>
        <v>145.45454545454547</v>
      </c>
      <c r="J20" s="87" t="s">
        <v>173</v>
      </c>
      <c r="K20" s="88">
        <v>147</v>
      </c>
      <c r="L20" s="89" t="s">
        <v>181</v>
      </c>
      <c r="M20" s="91">
        <f>K20/K10*100</f>
        <v>148.4848484848485</v>
      </c>
      <c r="N20" s="87" t="s">
        <v>173</v>
      </c>
      <c r="O20" s="88">
        <v>145</v>
      </c>
      <c r="P20" s="89" t="s">
        <v>181</v>
      </c>
      <c r="Q20" s="91">
        <f>O20/O10*100</f>
        <v>146.46464646464648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121167</v>
      </c>
      <c r="AA20" s="35">
        <v>72742</v>
      </c>
      <c r="AB20" s="36">
        <v>73628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14</v>
      </c>
      <c r="H21" s="85" t="s">
        <v>181</v>
      </c>
      <c r="I21" s="91">
        <f>G21/G10*100</f>
        <v>14.14141414141414</v>
      </c>
      <c r="J21" s="87" t="s">
        <v>173</v>
      </c>
      <c r="K21" s="88">
        <v>15</v>
      </c>
      <c r="L21" s="89" t="s">
        <v>181</v>
      </c>
      <c r="M21" s="91">
        <f>K21/K10*100</f>
        <v>15.151515151515152</v>
      </c>
      <c r="N21" s="87" t="s">
        <v>173</v>
      </c>
      <c r="O21" s="88">
        <v>13.6</v>
      </c>
      <c r="P21" s="89" t="s">
        <v>181</v>
      </c>
      <c r="Q21" s="91">
        <f>O21/O10*100</f>
        <v>13.737373737373737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104883</v>
      </c>
      <c r="AA21" s="35">
        <v>104962</v>
      </c>
      <c r="AB21" s="36">
        <v>97898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96</v>
      </c>
      <c r="H22" s="85" t="s">
        <v>181</v>
      </c>
      <c r="I22" s="91">
        <f>G22/G10*100</f>
        <v>96.96969696969697</v>
      </c>
      <c r="J22" s="87" t="s">
        <v>173</v>
      </c>
      <c r="K22" s="88">
        <v>96</v>
      </c>
      <c r="L22" s="89" t="s">
        <v>181</v>
      </c>
      <c r="M22" s="91">
        <f>K22/K10*100</f>
        <v>96.96969696969697</v>
      </c>
      <c r="N22" s="87" t="s">
        <v>173</v>
      </c>
      <c r="O22" s="88">
        <v>94</v>
      </c>
      <c r="P22" s="89" t="s">
        <v>181</v>
      </c>
      <c r="Q22" s="91">
        <f>O22/O10*100</f>
        <v>94.94949494949495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53129</v>
      </c>
      <c r="AA22" s="35">
        <v>50050</v>
      </c>
      <c r="AB22" s="36">
        <v>46863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17</v>
      </c>
      <c r="H23" s="77" t="s">
        <v>181</v>
      </c>
      <c r="I23" s="96">
        <f>G23/G10*100</f>
        <v>17.17171717171717</v>
      </c>
      <c r="J23" s="97" t="s">
        <v>173</v>
      </c>
      <c r="K23" s="98">
        <v>18</v>
      </c>
      <c r="L23" s="99" t="s">
        <v>181</v>
      </c>
      <c r="M23" s="96">
        <f>K23/K10*100</f>
        <v>18.181818181818183</v>
      </c>
      <c r="N23" s="97" t="s">
        <v>173</v>
      </c>
      <c r="O23" s="98">
        <v>18</v>
      </c>
      <c r="P23" s="99" t="s">
        <v>181</v>
      </c>
      <c r="Q23" s="96">
        <f>O23/O10*100</f>
        <v>18.181818181818183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/>
      <c r="AB23" s="36"/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v>85.2</v>
      </c>
      <c r="H24" s="696"/>
      <c r="I24" s="696"/>
      <c r="J24" s="697"/>
      <c r="K24" s="698">
        <v>80.5</v>
      </c>
      <c r="L24" s="696"/>
      <c r="M24" s="696"/>
      <c r="N24" s="697"/>
      <c r="O24" s="698">
        <v>76.4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-37618</v>
      </c>
      <c r="AA24" s="101">
        <f>AA7-AA16</f>
        <v>5831</v>
      </c>
      <c r="AB24" s="102">
        <f>AB7-AB16</f>
        <v>12618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85.2</v>
      </c>
      <c r="H25" s="624"/>
      <c r="I25" s="624"/>
      <c r="J25" s="625"/>
      <c r="K25" s="626">
        <v>80.5</v>
      </c>
      <c r="L25" s="624"/>
      <c r="M25" s="624"/>
      <c r="N25" s="625"/>
      <c r="O25" s="626">
        <v>76.4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-37618</v>
      </c>
      <c r="AA25" s="107">
        <f>AA6-AA15</f>
        <v>35988</v>
      </c>
      <c r="AB25" s="108">
        <f>AB6-AB15</f>
        <v>12618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85.2</v>
      </c>
      <c r="H26" s="624"/>
      <c r="I26" s="624"/>
      <c r="J26" s="625"/>
      <c r="K26" s="626">
        <v>80.5</v>
      </c>
      <c r="L26" s="624"/>
      <c r="M26" s="624"/>
      <c r="N26" s="625"/>
      <c r="O26" s="626">
        <v>76.4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74033</v>
      </c>
      <c r="AA26" s="27">
        <v>97600</v>
      </c>
      <c r="AB26" s="28">
        <v>108662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16.2</v>
      </c>
      <c r="H27" s="624"/>
      <c r="I27" s="624"/>
      <c r="J27" s="625"/>
      <c r="K27" s="626">
        <v>15.4</v>
      </c>
      <c r="L27" s="624"/>
      <c r="M27" s="624"/>
      <c r="N27" s="625"/>
      <c r="O27" s="626">
        <v>15.2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84</v>
      </c>
      <c r="H28" s="648"/>
      <c r="I28" s="648"/>
      <c r="J28" s="649"/>
      <c r="K28" s="650">
        <v>80</v>
      </c>
      <c r="L28" s="648"/>
      <c r="M28" s="648"/>
      <c r="N28" s="649"/>
      <c r="O28" s="650">
        <v>75.65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74033</v>
      </c>
      <c r="AA28" s="35">
        <v>94875</v>
      </c>
      <c r="AB28" s="36">
        <v>103819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289</v>
      </c>
      <c r="H29" s="648"/>
      <c r="I29" s="648"/>
      <c r="J29" s="649"/>
      <c r="K29" s="650">
        <v>296</v>
      </c>
      <c r="L29" s="648"/>
      <c r="M29" s="648"/>
      <c r="N29" s="649"/>
      <c r="O29" s="650">
        <v>298.81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123122</v>
      </c>
      <c r="AA29" s="35">
        <v>160608</v>
      </c>
      <c r="AB29" s="36">
        <v>204114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30780</v>
      </c>
      <c r="H30" s="656"/>
      <c r="I30" s="656"/>
      <c r="J30" s="657"/>
      <c r="K30" s="658">
        <v>29102</v>
      </c>
      <c r="L30" s="656"/>
      <c r="M30" s="656"/>
      <c r="N30" s="657"/>
      <c r="O30" s="658">
        <v>27613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5579</v>
      </c>
      <c r="AA30" s="35">
        <v>39986</v>
      </c>
      <c r="AB30" s="36">
        <v>80304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70420</v>
      </c>
      <c r="H31" s="656"/>
      <c r="I31" s="656"/>
      <c r="J31" s="657"/>
      <c r="K31" s="658">
        <v>72512</v>
      </c>
      <c r="L31" s="656"/>
      <c r="M31" s="656"/>
      <c r="N31" s="657"/>
      <c r="O31" s="658">
        <v>72910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117543</v>
      </c>
      <c r="AA31" s="35">
        <v>120622</v>
      </c>
      <c r="AB31" s="36">
        <v>123810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228.8</v>
      </c>
      <c r="H32" s="624"/>
      <c r="I32" s="624"/>
      <c r="J32" s="625"/>
      <c r="K32" s="626">
        <v>249.2</v>
      </c>
      <c r="L32" s="624"/>
      <c r="M32" s="624"/>
      <c r="N32" s="625"/>
      <c r="O32" s="626">
        <v>264.04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-49089</v>
      </c>
      <c r="AA32" s="179">
        <f>AA26-AA29</f>
        <v>-63008</v>
      </c>
      <c r="AB32" s="180">
        <f>AB26-AB29</f>
        <v>-95452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17241</v>
      </c>
      <c r="H33" s="656"/>
      <c r="I33" s="656"/>
      <c r="J33" s="657"/>
      <c r="K33" s="658">
        <v>18176</v>
      </c>
      <c r="L33" s="656"/>
      <c r="M33" s="656"/>
      <c r="N33" s="657"/>
      <c r="O33" s="658">
        <v>18872.61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49089</v>
      </c>
      <c r="AA33" s="35">
        <v>63008</v>
      </c>
      <c r="AB33" s="36">
        <v>95452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5.2</v>
      </c>
      <c r="H34" s="624"/>
      <c r="I34" s="624"/>
      <c r="J34" s="625"/>
      <c r="K34" s="626">
        <v>4.7</v>
      </c>
      <c r="L34" s="624"/>
      <c r="M34" s="624"/>
      <c r="N34" s="625"/>
      <c r="O34" s="626">
        <v>4.47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11.9</v>
      </c>
      <c r="H35" s="624"/>
      <c r="I35" s="624"/>
      <c r="J35" s="625"/>
      <c r="K35" s="626">
        <v>11.8</v>
      </c>
      <c r="L35" s="624"/>
      <c r="M35" s="624"/>
      <c r="N35" s="625"/>
      <c r="O35" s="626">
        <v>11.82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304361</v>
      </c>
      <c r="AA35" s="123">
        <v>354515</v>
      </c>
      <c r="AB35" s="117">
        <v>345427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301</v>
      </c>
      <c r="H36" s="648"/>
      <c r="I36" s="648"/>
      <c r="J36" s="649"/>
      <c r="K36" s="650">
        <v>301</v>
      </c>
      <c r="L36" s="648"/>
      <c r="M36" s="648"/>
      <c r="N36" s="649"/>
      <c r="O36" s="650">
        <v>312.2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340000</v>
      </c>
      <c r="AA36" s="27">
        <v>340000</v>
      </c>
      <c r="AB36" s="28">
        <v>340000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106.9</v>
      </c>
      <c r="H37" s="624"/>
      <c r="I37" s="624"/>
      <c r="J37" s="625"/>
      <c r="K37" s="626">
        <v>104.9</v>
      </c>
      <c r="L37" s="624"/>
      <c r="M37" s="624"/>
      <c r="N37" s="625"/>
      <c r="O37" s="626">
        <v>111.47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340000</v>
      </c>
      <c r="AA37" s="132">
        <v>338890</v>
      </c>
      <c r="AB37" s="133">
        <v>339993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37186</v>
      </c>
      <c r="H38" s="648"/>
      <c r="I38" s="648"/>
      <c r="J38" s="649"/>
      <c r="K38" s="650">
        <v>39144</v>
      </c>
      <c r="L38" s="648"/>
      <c r="M38" s="648"/>
      <c r="N38" s="649"/>
      <c r="O38" s="650">
        <v>40667.5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2184062</v>
      </c>
      <c r="AA38" s="136">
        <v>2320578</v>
      </c>
      <c r="AB38" s="137">
        <v>2419488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8964</v>
      </c>
      <c r="H39" s="648"/>
      <c r="I39" s="648"/>
      <c r="J39" s="649"/>
      <c r="K39" s="650">
        <v>9857</v>
      </c>
      <c r="L39" s="648"/>
      <c r="M39" s="648"/>
      <c r="N39" s="649"/>
      <c r="O39" s="650">
        <v>11001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1810693</v>
      </c>
      <c r="AA39" s="27">
        <v>1751624</v>
      </c>
      <c r="AB39" s="28">
        <v>1757922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18498</v>
      </c>
      <c r="H40" s="648"/>
      <c r="I40" s="648"/>
      <c r="J40" s="649"/>
      <c r="K40" s="650">
        <v>19446</v>
      </c>
      <c r="L40" s="648"/>
      <c r="M40" s="648"/>
      <c r="N40" s="649"/>
      <c r="O40" s="650">
        <v>20039.6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4696303</v>
      </c>
      <c r="AA40" s="35">
        <v>3693236</v>
      </c>
      <c r="AB40" s="36">
        <v>3777424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4152</v>
      </c>
      <c r="H41" s="648"/>
      <c r="I41" s="648"/>
      <c r="J41" s="649"/>
      <c r="K41" s="650">
        <v>4501</v>
      </c>
      <c r="L41" s="648"/>
      <c r="M41" s="648"/>
      <c r="N41" s="649"/>
      <c r="O41" s="650">
        <v>5411.3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2920776</v>
      </c>
      <c r="AA41" s="35">
        <v>1983283</v>
      </c>
      <c r="AB41" s="36">
        <v>2054669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21498</v>
      </c>
      <c r="H42" s="648"/>
      <c r="I42" s="648"/>
      <c r="J42" s="649"/>
      <c r="K42" s="650">
        <v>21504</v>
      </c>
      <c r="L42" s="648"/>
      <c r="M42" s="648"/>
      <c r="N42" s="649"/>
      <c r="O42" s="650">
        <v>22263.6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397614</v>
      </c>
      <c r="AA42" s="149">
        <v>476914</v>
      </c>
      <c r="AB42" s="150">
        <v>467317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9806</v>
      </c>
      <c r="H43" s="648"/>
      <c r="I43" s="648"/>
      <c r="J43" s="649"/>
      <c r="K43" s="650">
        <v>9907</v>
      </c>
      <c r="L43" s="648"/>
      <c r="M43" s="648"/>
      <c r="N43" s="649"/>
      <c r="O43" s="650">
        <v>9990.8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97310</v>
      </c>
      <c r="AA43" s="35">
        <v>160199</v>
      </c>
      <c r="AB43" s="36">
        <v>151129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3885</v>
      </c>
      <c r="H44" s="648"/>
      <c r="I44" s="648"/>
      <c r="J44" s="649"/>
      <c r="K44" s="650">
        <v>4293</v>
      </c>
      <c r="L44" s="648"/>
      <c r="M44" s="648"/>
      <c r="N44" s="649"/>
      <c r="O44" s="650">
        <v>4854.18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289371</v>
      </c>
      <c r="AA44" s="154">
        <v>295211</v>
      </c>
      <c r="AB44" s="155">
        <v>294685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53">
        <v>-372</v>
      </c>
      <c r="H45" s="653"/>
      <c r="I45" s="653"/>
      <c r="J45" s="655"/>
      <c r="K45" s="650">
        <v>354</v>
      </c>
      <c r="L45" s="648"/>
      <c r="M45" s="648"/>
      <c r="N45" s="649"/>
      <c r="O45" s="650">
        <v>125.5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10913</v>
      </c>
      <c r="AA45" s="35">
        <v>21484</v>
      </c>
      <c r="AB45" s="36">
        <v>21484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9723</v>
      </c>
      <c r="AA46" s="149"/>
      <c r="AB46" s="150"/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54685</v>
      </c>
      <c r="H47" s="648"/>
      <c r="I47" s="648"/>
      <c r="J47" s="649"/>
      <c r="K47" s="650">
        <v>57420</v>
      </c>
      <c r="L47" s="648"/>
      <c r="M47" s="648"/>
      <c r="N47" s="649"/>
      <c r="O47" s="650">
        <v>59246.6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2218030</v>
      </c>
      <c r="AA47" s="136">
        <f>AA39+AA42+AA46</f>
        <v>2228538</v>
      </c>
      <c r="AB47" s="137">
        <f>AB39+AB42+AB46</f>
        <v>2225239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57149</v>
      </c>
      <c r="H48" s="700"/>
      <c r="I48" s="700"/>
      <c r="J48" s="701"/>
      <c r="K48" s="702">
        <v>57567</v>
      </c>
      <c r="L48" s="700"/>
      <c r="M48" s="700"/>
      <c r="N48" s="701"/>
      <c r="O48" s="702">
        <v>59225.5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768</v>
      </c>
      <c r="AA48" s="27">
        <v>769</v>
      </c>
      <c r="AB48" s="28">
        <v>769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45.6</v>
      </c>
      <c r="H49" s="635"/>
      <c r="I49" s="635"/>
      <c r="J49" s="636"/>
      <c r="K49" s="637">
        <v>46.1</v>
      </c>
      <c r="L49" s="635"/>
      <c r="M49" s="635"/>
      <c r="N49" s="636"/>
      <c r="O49" s="637">
        <v>44.87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93253</v>
      </c>
      <c r="AA49" s="35">
        <v>122399</v>
      </c>
      <c r="AB49" s="36">
        <v>121890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2.4</v>
      </c>
      <c r="H50" s="624"/>
      <c r="I50" s="624"/>
      <c r="J50" s="625"/>
      <c r="K50" s="626">
        <v>2.3</v>
      </c>
      <c r="L50" s="624"/>
      <c r="M50" s="624"/>
      <c r="N50" s="625"/>
      <c r="O50" s="626">
        <v>2.09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5.6</v>
      </c>
      <c r="H51" s="624"/>
      <c r="I51" s="624"/>
      <c r="J51" s="625"/>
      <c r="K51" s="626">
        <v>3.3</v>
      </c>
      <c r="L51" s="624"/>
      <c r="M51" s="624"/>
      <c r="N51" s="625"/>
      <c r="O51" s="626">
        <v>3.28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93253</v>
      </c>
      <c r="AA51" s="132">
        <v>122399</v>
      </c>
      <c r="AB51" s="133">
        <v>121890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25.6</v>
      </c>
      <c r="H52" s="624"/>
      <c r="I52" s="624"/>
      <c r="J52" s="625"/>
      <c r="K52" s="626">
        <v>27.4</v>
      </c>
      <c r="L52" s="624"/>
      <c r="M52" s="624"/>
      <c r="N52" s="625"/>
      <c r="O52" s="626">
        <v>29.49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94021</v>
      </c>
      <c r="AA52" s="169">
        <f>AA48+AA49</f>
        <v>123168</v>
      </c>
      <c r="AB52" s="170">
        <f>AB48+AB49</f>
        <v>122659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20.8</v>
      </c>
      <c r="H53" s="639"/>
      <c r="I53" s="639"/>
      <c r="J53" s="640"/>
      <c r="K53" s="641">
        <v>20.9</v>
      </c>
      <c r="L53" s="639"/>
      <c r="M53" s="639"/>
      <c r="N53" s="640"/>
      <c r="O53" s="641">
        <v>20.24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3489932</v>
      </c>
      <c r="AA53" s="27">
        <v>3477380</v>
      </c>
      <c r="AB53" s="28">
        <v>3460014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29.2</v>
      </c>
      <c r="H54" s="635"/>
      <c r="I54" s="635"/>
      <c r="J54" s="636"/>
      <c r="K54" s="637">
        <v>33.7</v>
      </c>
      <c r="L54" s="635"/>
      <c r="M54" s="635"/>
      <c r="N54" s="636"/>
      <c r="O54" s="637">
        <v>39.17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2014673</v>
      </c>
      <c r="AA54" s="35">
        <v>2122743</v>
      </c>
      <c r="AB54" s="36">
        <v>2229187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426.4</v>
      </c>
      <c r="H55" s="624"/>
      <c r="I55" s="624"/>
      <c r="J55" s="625"/>
      <c r="K55" s="626">
        <v>389.6</v>
      </c>
      <c r="L55" s="624"/>
      <c r="M55" s="624"/>
      <c r="N55" s="625"/>
      <c r="O55" s="626">
        <v>383.39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1475259</v>
      </c>
      <c r="AA55" s="35">
        <v>1354637</v>
      </c>
      <c r="AB55" s="36">
        <v>1230827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98.3</v>
      </c>
      <c r="H56" s="624"/>
      <c r="I56" s="624"/>
      <c r="J56" s="625"/>
      <c r="K56" s="626">
        <v>100.3</v>
      </c>
      <c r="L56" s="624"/>
      <c r="M56" s="624"/>
      <c r="N56" s="625"/>
      <c r="O56" s="626">
        <v>100.56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95.7</v>
      </c>
      <c r="H57" s="624"/>
      <c r="I57" s="624"/>
      <c r="J57" s="625"/>
      <c r="K57" s="626">
        <v>99.7</v>
      </c>
      <c r="L57" s="624"/>
      <c r="M57" s="624"/>
      <c r="N57" s="625"/>
      <c r="O57" s="626">
        <v>100.03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-1365923</v>
      </c>
      <c r="AA57" s="179">
        <v>-1372010</v>
      </c>
      <c r="AB57" s="180">
        <v>-1357434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107.7</v>
      </c>
      <c r="H58" s="624"/>
      <c r="I58" s="624"/>
      <c r="J58" s="625"/>
      <c r="K58" s="626">
        <v>101.1</v>
      </c>
      <c r="L58" s="624"/>
      <c r="M58" s="624"/>
      <c r="N58" s="625"/>
      <c r="O58" s="626">
        <v>97.41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731264</v>
      </c>
      <c r="AA58" s="35">
        <v>689189</v>
      </c>
      <c r="AB58" s="36">
        <v>691147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37000</v>
      </c>
      <c r="AA59" s="35">
        <v>37000</v>
      </c>
      <c r="AB59" s="36">
        <v>37000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5.9</v>
      </c>
      <c r="H60" s="624"/>
      <c r="I60" s="624"/>
      <c r="J60" s="625"/>
      <c r="K60" s="626">
        <v>5.8</v>
      </c>
      <c r="L60" s="624"/>
      <c r="M60" s="624"/>
      <c r="N60" s="625"/>
      <c r="O60" s="626">
        <v>5.78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-2134187</v>
      </c>
      <c r="AA60" s="182">
        <v>-2098199</v>
      </c>
      <c r="AB60" s="183">
        <v>-2085581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2.7</v>
      </c>
      <c r="H61" s="624"/>
      <c r="I61" s="624"/>
      <c r="J61" s="625"/>
      <c r="K61" s="626">
        <v>2.4</v>
      </c>
      <c r="L61" s="624"/>
      <c r="M61" s="624"/>
      <c r="N61" s="625"/>
      <c r="O61" s="626">
        <v>2.18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2124009</v>
      </c>
      <c r="AA61" s="169">
        <f>AA53+AA57</f>
        <v>2105370</v>
      </c>
      <c r="AB61" s="170">
        <f>AB53+AB57</f>
        <v>2102580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8.6</v>
      </c>
      <c r="H62" s="624"/>
      <c r="I62" s="624"/>
      <c r="J62" s="625"/>
      <c r="K62" s="626">
        <v>8.2</v>
      </c>
      <c r="L62" s="624"/>
      <c r="M62" s="624"/>
      <c r="N62" s="625"/>
      <c r="O62" s="626">
        <v>7.97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50.1</v>
      </c>
      <c r="H63" s="624"/>
      <c r="I63" s="624"/>
      <c r="J63" s="625"/>
      <c r="K63" s="626">
        <v>48.5</v>
      </c>
      <c r="L63" s="624"/>
      <c r="M63" s="624"/>
      <c r="N63" s="625"/>
      <c r="O63" s="626">
        <v>46.91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28.1</v>
      </c>
      <c r="H64" s="639"/>
      <c r="I64" s="639"/>
      <c r="J64" s="640"/>
      <c r="K64" s="641">
        <v>28.8</v>
      </c>
      <c r="L64" s="639"/>
      <c r="M64" s="639"/>
      <c r="N64" s="640"/>
      <c r="O64" s="641">
        <v>30.83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863" t="s">
        <v>433</v>
      </c>
      <c r="B4" s="863"/>
      <c r="C4" s="863"/>
      <c r="D4" s="863"/>
      <c r="E4" s="863"/>
      <c r="F4" s="863"/>
      <c r="G4" s="86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13">
        <v>23712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13">
        <v>24563</v>
      </c>
      <c r="H6" s="713"/>
      <c r="I6" s="713"/>
      <c r="J6" s="713"/>
      <c r="K6" s="713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430">
        <f>Z7+Z14</f>
        <v>2006829</v>
      </c>
      <c r="AA6" s="431">
        <f>AA7+AA14</f>
        <v>1960849</v>
      </c>
      <c r="AB6" s="432">
        <f>AB7+AB14</f>
        <v>1890176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16" t="s">
        <v>402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433">
        <f>Z8+Z12</f>
        <v>2006829</v>
      </c>
      <c r="AA7" s="434">
        <f>AA8+AA12</f>
        <v>1960849</v>
      </c>
      <c r="AB7" s="435">
        <f>AB8+AB12</f>
        <v>1890176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44" t="s">
        <v>403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6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433">
        <v>1772989</v>
      </c>
      <c r="AA8" s="434">
        <v>1817734</v>
      </c>
      <c r="AB8" s="435">
        <v>1748386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433">
        <v>1108648</v>
      </c>
      <c r="AA9" s="434">
        <v>1104885</v>
      </c>
      <c r="AB9" s="435">
        <v>1070473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373">
        <f>SUM(G11:G15)</f>
        <v>166</v>
      </c>
      <c r="H10" s="370" t="s">
        <v>181</v>
      </c>
      <c r="I10" s="371">
        <f>SUM(I11:I15)</f>
        <v>166</v>
      </c>
      <c r="J10" s="436" t="s">
        <v>189</v>
      </c>
      <c r="K10" s="373">
        <f>SUM(K11:K15)</f>
        <v>166</v>
      </c>
      <c r="L10" s="370" t="s">
        <v>181</v>
      </c>
      <c r="M10" s="371">
        <f>SUM(M11:M15)</f>
        <v>166</v>
      </c>
      <c r="N10" s="436" t="s">
        <v>173</v>
      </c>
      <c r="O10" s="50">
        <f>SUM(O11:O15)</f>
        <v>166</v>
      </c>
      <c r="P10" s="53" t="s">
        <v>181</v>
      </c>
      <c r="Q10" s="48">
        <f>SUM(Q11:Q15)</f>
        <v>166</v>
      </c>
      <c r="R10" s="90" t="s">
        <v>173</v>
      </c>
      <c r="S10" s="437"/>
      <c r="T10" s="630"/>
      <c r="U10" s="671"/>
      <c r="V10" s="662"/>
      <c r="W10" s="670"/>
      <c r="X10" s="42" t="s">
        <v>31</v>
      </c>
      <c r="Y10" s="43"/>
      <c r="Z10" s="433">
        <v>491713</v>
      </c>
      <c r="AA10" s="434">
        <v>502496</v>
      </c>
      <c r="AB10" s="435">
        <v>485353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378">
        <v>110</v>
      </c>
      <c r="H11" s="375" t="s">
        <v>181</v>
      </c>
      <c r="I11" s="376">
        <v>110</v>
      </c>
      <c r="J11" s="389" t="s">
        <v>189</v>
      </c>
      <c r="K11" s="378">
        <v>110</v>
      </c>
      <c r="L11" s="375" t="s">
        <v>181</v>
      </c>
      <c r="M11" s="376">
        <v>110</v>
      </c>
      <c r="N11" s="389" t="s">
        <v>173</v>
      </c>
      <c r="O11" s="60">
        <v>110</v>
      </c>
      <c r="P11" s="63" t="s">
        <v>181</v>
      </c>
      <c r="Q11" s="58">
        <v>110</v>
      </c>
      <c r="R11" s="90" t="s">
        <v>173</v>
      </c>
      <c r="S11" s="437"/>
      <c r="T11" s="630"/>
      <c r="U11" s="671"/>
      <c r="V11" s="662"/>
      <c r="W11" s="670"/>
      <c r="X11" s="42" t="s">
        <v>34</v>
      </c>
      <c r="Y11" s="43"/>
      <c r="Z11" s="433">
        <v>59665</v>
      </c>
      <c r="AA11" s="434">
        <v>100595</v>
      </c>
      <c r="AB11" s="435">
        <v>89958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378">
        <v>56</v>
      </c>
      <c r="H12" s="375" t="s">
        <v>181</v>
      </c>
      <c r="I12" s="376">
        <v>56</v>
      </c>
      <c r="J12" s="389" t="s">
        <v>189</v>
      </c>
      <c r="K12" s="378">
        <v>56</v>
      </c>
      <c r="L12" s="375" t="s">
        <v>181</v>
      </c>
      <c r="M12" s="376">
        <v>56</v>
      </c>
      <c r="N12" s="389" t="s">
        <v>173</v>
      </c>
      <c r="O12" s="60">
        <v>56</v>
      </c>
      <c r="P12" s="63" t="s">
        <v>181</v>
      </c>
      <c r="Q12" s="58">
        <v>56</v>
      </c>
      <c r="R12" s="90" t="s">
        <v>173</v>
      </c>
      <c r="S12" s="437"/>
      <c r="T12" s="630"/>
      <c r="U12" s="671"/>
      <c r="V12" s="662"/>
      <c r="W12" s="41" t="s">
        <v>36</v>
      </c>
      <c r="X12" s="42"/>
      <c r="Y12" s="43" t="s">
        <v>182</v>
      </c>
      <c r="Z12" s="433">
        <v>233840</v>
      </c>
      <c r="AA12" s="434">
        <v>143115</v>
      </c>
      <c r="AB12" s="435">
        <v>141790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378"/>
      <c r="H13" s="375" t="s">
        <v>181</v>
      </c>
      <c r="I13" s="376"/>
      <c r="J13" s="389" t="s">
        <v>404</v>
      </c>
      <c r="K13" s="378"/>
      <c r="L13" s="375" t="s">
        <v>181</v>
      </c>
      <c r="M13" s="376"/>
      <c r="N13" s="389" t="s">
        <v>404</v>
      </c>
      <c r="O13" s="60"/>
      <c r="P13" s="63" t="s">
        <v>181</v>
      </c>
      <c r="Q13" s="58"/>
      <c r="R13" s="90" t="s">
        <v>173</v>
      </c>
      <c r="S13" s="437"/>
      <c r="T13" s="630"/>
      <c r="U13" s="671"/>
      <c r="V13" s="647"/>
      <c r="W13" s="66" t="s">
        <v>180</v>
      </c>
      <c r="X13" s="42" t="s">
        <v>39</v>
      </c>
      <c r="Y13" s="43"/>
      <c r="Z13" s="433">
        <v>209909</v>
      </c>
      <c r="AA13" s="434">
        <v>117919</v>
      </c>
      <c r="AB13" s="435">
        <v>115939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378"/>
      <c r="H14" s="375" t="s">
        <v>181</v>
      </c>
      <c r="I14" s="376"/>
      <c r="J14" s="389" t="s">
        <v>404</v>
      </c>
      <c r="K14" s="378"/>
      <c r="L14" s="375" t="s">
        <v>181</v>
      </c>
      <c r="M14" s="376"/>
      <c r="N14" s="389" t="s">
        <v>404</v>
      </c>
      <c r="O14" s="60"/>
      <c r="P14" s="63" t="s">
        <v>181</v>
      </c>
      <c r="Q14" s="58"/>
      <c r="R14" s="90" t="s">
        <v>173</v>
      </c>
      <c r="S14" s="437"/>
      <c r="T14" s="630"/>
      <c r="U14" s="672"/>
      <c r="V14" s="41" t="s">
        <v>41</v>
      </c>
      <c r="W14" s="66"/>
      <c r="X14" s="67"/>
      <c r="Y14" s="43" t="s">
        <v>183</v>
      </c>
      <c r="Z14" s="433"/>
      <c r="AA14" s="434"/>
      <c r="AB14" s="435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378"/>
      <c r="H15" s="375" t="s">
        <v>181</v>
      </c>
      <c r="I15" s="376" t="s">
        <v>184</v>
      </c>
      <c r="J15" s="389" t="s">
        <v>404</v>
      </c>
      <c r="K15" s="378"/>
      <c r="L15" s="375" t="s">
        <v>181</v>
      </c>
      <c r="M15" s="376" t="s">
        <v>184</v>
      </c>
      <c r="N15" s="389" t="s">
        <v>404</v>
      </c>
      <c r="O15" s="60"/>
      <c r="P15" s="63" t="s">
        <v>181</v>
      </c>
      <c r="Q15" s="58" t="s">
        <v>184</v>
      </c>
      <c r="R15" s="90" t="s">
        <v>173</v>
      </c>
      <c r="S15" s="437"/>
      <c r="T15" s="630"/>
      <c r="U15" s="69" t="s">
        <v>44</v>
      </c>
      <c r="V15" s="41"/>
      <c r="W15" s="41"/>
      <c r="X15" s="42"/>
      <c r="Y15" s="43" t="s">
        <v>185</v>
      </c>
      <c r="Z15" s="433">
        <f>Z16+Z23</f>
        <v>1862200</v>
      </c>
      <c r="AA15" s="434">
        <f>AA16+AA23</f>
        <v>1910208</v>
      </c>
      <c r="AB15" s="435">
        <f>AB16+AB23</f>
        <v>1943481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843">
        <v>42</v>
      </c>
      <c r="H16" s="841"/>
      <c r="I16" s="841"/>
      <c r="J16" s="842"/>
      <c r="K16" s="843">
        <v>42</v>
      </c>
      <c r="L16" s="841"/>
      <c r="M16" s="841"/>
      <c r="N16" s="842"/>
      <c r="O16" s="673">
        <v>42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433">
        <f>Z17+Z21</f>
        <v>1862200</v>
      </c>
      <c r="AA16" s="434">
        <f>AA17+AA21</f>
        <v>1910208</v>
      </c>
      <c r="AB16" s="435">
        <f>AB17+AB21</f>
        <v>1943481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843">
        <v>4</v>
      </c>
      <c r="H17" s="841"/>
      <c r="I17" s="841"/>
      <c r="J17" s="842"/>
      <c r="K17" s="843">
        <v>4</v>
      </c>
      <c r="L17" s="841"/>
      <c r="M17" s="841"/>
      <c r="N17" s="842"/>
      <c r="O17" s="677">
        <v>4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433">
        <v>1755071</v>
      </c>
      <c r="AA17" s="434">
        <v>1810285</v>
      </c>
      <c r="AB17" s="435">
        <v>1853434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860">
        <v>10233</v>
      </c>
      <c r="H18" s="861"/>
      <c r="I18" s="861"/>
      <c r="J18" s="862"/>
      <c r="K18" s="835">
        <v>10233</v>
      </c>
      <c r="L18" s="833"/>
      <c r="M18" s="833"/>
      <c r="N18" s="834"/>
      <c r="O18" s="663">
        <v>10233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433">
        <v>1117536</v>
      </c>
      <c r="AA18" s="434">
        <v>1158546</v>
      </c>
      <c r="AB18" s="435">
        <v>1174408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383"/>
      <c r="H19" s="380" t="s">
        <v>181</v>
      </c>
      <c r="I19" s="381" t="s">
        <v>184</v>
      </c>
      <c r="J19" s="382" t="s">
        <v>189</v>
      </c>
      <c r="K19" s="383"/>
      <c r="L19" s="380" t="s">
        <v>181</v>
      </c>
      <c r="M19" s="381" t="s">
        <v>184</v>
      </c>
      <c r="N19" s="382" t="s">
        <v>189</v>
      </c>
      <c r="O19" s="76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433">
        <v>194737</v>
      </c>
      <c r="AA19" s="434">
        <v>215460</v>
      </c>
      <c r="AB19" s="435">
        <v>218971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378">
        <v>173.3</v>
      </c>
      <c r="H20" s="385" t="s">
        <v>181</v>
      </c>
      <c r="I20" s="386">
        <f>G20/G10*100</f>
        <v>104.39759036144578</v>
      </c>
      <c r="J20" s="436" t="s">
        <v>173</v>
      </c>
      <c r="K20" s="384">
        <v>178.4</v>
      </c>
      <c r="L20" s="385" t="s">
        <v>181</v>
      </c>
      <c r="M20" s="386">
        <f>K20/K10*100</f>
        <v>107.4698795180723</v>
      </c>
      <c r="N20" s="436" t="s">
        <v>173</v>
      </c>
      <c r="O20" s="390">
        <v>182.8</v>
      </c>
      <c r="P20" s="89" t="s">
        <v>181</v>
      </c>
      <c r="Q20" s="386">
        <f>O20/O10*100</f>
        <v>110.12048192771084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433">
        <v>148647</v>
      </c>
      <c r="AA20" s="434">
        <v>150046</v>
      </c>
      <c r="AB20" s="435">
        <v>153521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378">
        <v>11.8</v>
      </c>
      <c r="H21" s="385" t="s">
        <v>181</v>
      </c>
      <c r="I21" s="391">
        <f>G21/G10*100</f>
        <v>7.1084337349397595</v>
      </c>
      <c r="J21" s="389" t="s">
        <v>173</v>
      </c>
      <c r="K21" s="384">
        <v>11.8</v>
      </c>
      <c r="L21" s="385" t="s">
        <v>181</v>
      </c>
      <c r="M21" s="391">
        <f>K21/K10*100</f>
        <v>7.1084337349397595</v>
      </c>
      <c r="N21" s="389" t="s">
        <v>173</v>
      </c>
      <c r="O21" s="390">
        <v>11.4</v>
      </c>
      <c r="P21" s="89" t="s">
        <v>181</v>
      </c>
      <c r="Q21" s="391">
        <f>O21/O10*100</f>
        <v>6.8674698795180715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433">
        <v>107129</v>
      </c>
      <c r="AA21" s="434">
        <v>99923</v>
      </c>
      <c r="AB21" s="435">
        <v>90047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378">
        <v>112.8</v>
      </c>
      <c r="H22" s="385" t="s">
        <v>181</v>
      </c>
      <c r="I22" s="391">
        <f>G22/G10*100</f>
        <v>67.95180722891565</v>
      </c>
      <c r="J22" s="389" t="s">
        <v>173</v>
      </c>
      <c r="K22" s="384">
        <v>117.3</v>
      </c>
      <c r="L22" s="385" t="s">
        <v>181</v>
      </c>
      <c r="M22" s="391">
        <f>K22/K10*100</f>
        <v>70.66265060240964</v>
      </c>
      <c r="N22" s="389" t="s">
        <v>173</v>
      </c>
      <c r="O22" s="390">
        <v>118.3</v>
      </c>
      <c r="P22" s="89" t="s">
        <v>181</v>
      </c>
      <c r="Q22" s="391">
        <f>O22/O10*100</f>
        <v>71.26506024096385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433">
        <v>66539</v>
      </c>
      <c r="AA22" s="434">
        <v>62358</v>
      </c>
      <c r="AB22" s="435">
        <v>58041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395">
        <v>13.5</v>
      </c>
      <c r="H23" s="380" t="s">
        <v>181</v>
      </c>
      <c r="I23" s="393">
        <f>G23/G10*100</f>
        <v>8.132530120481928</v>
      </c>
      <c r="J23" s="382" t="s">
        <v>173</v>
      </c>
      <c r="K23" s="392">
        <v>13.3</v>
      </c>
      <c r="L23" s="380" t="s">
        <v>181</v>
      </c>
      <c r="M23" s="393">
        <f>K23/K10*100</f>
        <v>8.012048192771084</v>
      </c>
      <c r="N23" s="382" t="s">
        <v>173</v>
      </c>
      <c r="O23" s="396">
        <v>14.7</v>
      </c>
      <c r="P23" s="99" t="s">
        <v>181</v>
      </c>
      <c r="Q23" s="393">
        <f>O23/O10*100</f>
        <v>8.855421686746988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433"/>
      <c r="AA23" s="434"/>
      <c r="AB23" s="435"/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727">
        <f>G30/(G10*366)*100</f>
        <v>79.4637566660083</v>
      </c>
      <c r="H24" s="728"/>
      <c r="I24" s="728"/>
      <c r="J24" s="825"/>
      <c r="K24" s="727">
        <f>K30/(K10*365)*100</f>
        <v>78.1383066512626</v>
      </c>
      <c r="L24" s="728"/>
      <c r="M24" s="728"/>
      <c r="N24" s="825"/>
      <c r="O24" s="696">
        <f>O30/(O10*365)*100</f>
        <v>75.11140452219837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438">
        <f>Z7-Z16</f>
        <v>144629</v>
      </c>
      <c r="AA24" s="439">
        <f>AA7-AA16</f>
        <v>50641</v>
      </c>
      <c r="AB24" s="617">
        <f>AB7-AB16</f>
        <v>-53305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724">
        <v>79.5</v>
      </c>
      <c r="H25" s="725"/>
      <c r="I25" s="725"/>
      <c r="J25" s="824"/>
      <c r="K25" s="724">
        <v>78.1</v>
      </c>
      <c r="L25" s="725"/>
      <c r="M25" s="725"/>
      <c r="N25" s="824"/>
      <c r="O25" s="624">
        <v>75.1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440">
        <f>Z6-Z15</f>
        <v>144629</v>
      </c>
      <c r="AA25" s="441">
        <f>AA6-AA15</f>
        <v>50641</v>
      </c>
      <c r="AB25" s="618">
        <f>AB6-AB15</f>
        <v>-53305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724">
        <v>79.5</v>
      </c>
      <c r="H26" s="725"/>
      <c r="I26" s="725"/>
      <c r="J26" s="824"/>
      <c r="K26" s="724">
        <v>78.1</v>
      </c>
      <c r="L26" s="725"/>
      <c r="M26" s="725"/>
      <c r="N26" s="824"/>
      <c r="O26" s="624">
        <v>75.1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430">
        <v>196676</v>
      </c>
      <c r="AA26" s="431">
        <v>138697</v>
      </c>
      <c r="AB26" s="432">
        <v>309694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724">
        <v>20.2</v>
      </c>
      <c r="H27" s="725"/>
      <c r="I27" s="725"/>
      <c r="J27" s="824"/>
      <c r="K27" s="724">
        <v>20.6</v>
      </c>
      <c r="L27" s="725"/>
      <c r="M27" s="725"/>
      <c r="N27" s="824"/>
      <c r="O27" s="624">
        <v>20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433"/>
      <c r="AA27" s="434">
        <v>14000</v>
      </c>
      <c r="AB27" s="435">
        <v>97000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733">
        <v>131.9</v>
      </c>
      <c r="H28" s="734"/>
      <c r="I28" s="734"/>
      <c r="J28" s="828"/>
      <c r="K28" s="733">
        <v>129.7</v>
      </c>
      <c r="L28" s="734"/>
      <c r="M28" s="734"/>
      <c r="N28" s="828"/>
      <c r="O28" s="648">
        <v>124.6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433">
        <v>149920</v>
      </c>
      <c r="AA28" s="434">
        <v>122072</v>
      </c>
      <c r="AB28" s="435">
        <v>143632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733">
        <v>221.9</v>
      </c>
      <c r="H29" s="734"/>
      <c r="I29" s="734"/>
      <c r="J29" s="828"/>
      <c r="K29" s="733">
        <v>217.6</v>
      </c>
      <c r="L29" s="734"/>
      <c r="M29" s="734"/>
      <c r="N29" s="828"/>
      <c r="O29" s="648">
        <v>206.5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433">
        <v>309120</v>
      </c>
      <c r="AA29" s="434">
        <v>222403</v>
      </c>
      <c r="AB29" s="435">
        <v>410789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736">
        <v>48279</v>
      </c>
      <c r="H30" s="737"/>
      <c r="I30" s="737"/>
      <c r="J30" s="830"/>
      <c r="K30" s="736">
        <v>47344</v>
      </c>
      <c r="L30" s="737"/>
      <c r="M30" s="737"/>
      <c r="N30" s="830"/>
      <c r="O30" s="656">
        <v>45510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433">
        <v>150112</v>
      </c>
      <c r="AA30" s="434">
        <v>59454</v>
      </c>
      <c r="AB30" s="435">
        <v>240070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736">
        <v>65461</v>
      </c>
      <c r="H31" s="737"/>
      <c r="I31" s="737"/>
      <c r="J31" s="830"/>
      <c r="K31" s="736">
        <v>63759</v>
      </c>
      <c r="L31" s="737"/>
      <c r="M31" s="737"/>
      <c r="N31" s="830"/>
      <c r="O31" s="656">
        <v>60733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433">
        <v>159008</v>
      </c>
      <c r="AA31" s="434">
        <v>162949</v>
      </c>
      <c r="AB31" s="435">
        <v>169839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724">
        <v>135.58</v>
      </c>
      <c r="H32" s="725"/>
      <c r="I32" s="725"/>
      <c r="J32" s="824"/>
      <c r="K32" s="724">
        <v>134.67</v>
      </c>
      <c r="L32" s="725"/>
      <c r="M32" s="725"/>
      <c r="N32" s="824"/>
      <c r="O32" s="624">
        <v>133.44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613">
        <f>Z26-Z29</f>
        <v>-112444</v>
      </c>
      <c r="AA32" s="616">
        <f>AA26-AA29</f>
        <v>-83706</v>
      </c>
      <c r="AB32" s="617">
        <f>AB26-AB29</f>
        <v>-101095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736">
        <v>9358.8</v>
      </c>
      <c r="H33" s="737"/>
      <c r="I33" s="737"/>
      <c r="J33" s="830"/>
      <c r="K33" s="736">
        <v>9238</v>
      </c>
      <c r="L33" s="737"/>
      <c r="M33" s="737"/>
      <c r="N33" s="830"/>
      <c r="O33" s="656">
        <v>8789.9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433">
        <v>112444</v>
      </c>
      <c r="AA33" s="434">
        <v>83706</v>
      </c>
      <c r="AB33" s="435">
        <v>101095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724">
        <v>11.96</v>
      </c>
      <c r="H34" s="725"/>
      <c r="I34" s="725"/>
      <c r="J34" s="824"/>
      <c r="K34" s="724">
        <v>11.25</v>
      </c>
      <c r="L34" s="725"/>
      <c r="M34" s="725"/>
      <c r="N34" s="824"/>
      <c r="O34" s="624">
        <v>11.64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442">
        <f>Z32+Z33</f>
        <v>0</v>
      </c>
      <c r="AA34" s="443">
        <f>AA32+AA33</f>
        <v>0</v>
      </c>
      <c r="AB34" s="444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724">
        <v>16.22</v>
      </c>
      <c r="H35" s="725"/>
      <c r="I35" s="725"/>
      <c r="J35" s="824"/>
      <c r="K35" s="724">
        <v>15.15</v>
      </c>
      <c r="L35" s="725"/>
      <c r="M35" s="725"/>
      <c r="N35" s="824"/>
      <c r="O35" s="624">
        <v>15.54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442">
        <v>750840</v>
      </c>
      <c r="AA35" s="443">
        <v>878738</v>
      </c>
      <c r="AB35" s="444">
        <v>890998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733">
        <v>396.71</v>
      </c>
      <c r="H36" s="734"/>
      <c r="I36" s="734"/>
      <c r="J36" s="828"/>
      <c r="K36" s="733">
        <v>382</v>
      </c>
      <c r="L36" s="734"/>
      <c r="M36" s="734"/>
      <c r="N36" s="828"/>
      <c r="O36" s="648">
        <v>398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430">
        <v>419494</v>
      </c>
      <c r="AA36" s="431">
        <v>340586</v>
      </c>
      <c r="AB36" s="432">
        <v>349529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724">
        <v>87.86</v>
      </c>
      <c r="H37" s="725"/>
      <c r="I37" s="725"/>
      <c r="J37" s="824"/>
      <c r="K37" s="724">
        <v>81.02</v>
      </c>
      <c r="L37" s="725"/>
      <c r="M37" s="725"/>
      <c r="N37" s="824"/>
      <c r="O37" s="624">
        <v>87.7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445">
        <v>283226</v>
      </c>
      <c r="AA37" s="446">
        <v>282036</v>
      </c>
      <c r="AB37" s="447">
        <v>300032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851">
        <v>22963.35</v>
      </c>
      <c r="H38" s="852"/>
      <c r="I38" s="852"/>
      <c r="J38" s="853"/>
      <c r="K38" s="851">
        <v>23337.38</v>
      </c>
      <c r="L38" s="852"/>
      <c r="M38" s="852"/>
      <c r="N38" s="853"/>
      <c r="O38" s="653">
        <v>23521.7</v>
      </c>
      <c r="P38" s="653"/>
      <c r="Q38" s="653"/>
      <c r="R38" s="654"/>
      <c r="S38" s="134"/>
      <c r="T38" s="37" t="s">
        <v>111</v>
      </c>
      <c r="U38" s="38"/>
      <c r="V38" s="38"/>
      <c r="W38" s="38"/>
      <c r="X38" s="38"/>
      <c r="Y38" s="121"/>
      <c r="Z38" s="448">
        <v>2044994</v>
      </c>
      <c r="AA38" s="449">
        <v>2005919</v>
      </c>
      <c r="AB38" s="450">
        <v>2223840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851">
        <v>7511.54</v>
      </c>
      <c r="H39" s="852"/>
      <c r="I39" s="852"/>
      <c r="J39" s="853"/>
      <c r="K39" s="851">
        <v>7881.17</v>
      </c>
      <c r="L39" s="852"/>
      <c r="M39" s="852"/>
      <c r="N39" s="853"/>
      <c r="O39" s="653">
        <v>7991.58</v>
      </c>
      <c r="P39" s="653"/>
      <c r="Q39" s="653"/>
      <c r="R39" s="654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430">
        <v>4503833</v>
      </c>
      <c r="AA39" s="431">
        <v>4410069</v>
      </c>
      <c r="AB39" s="432">
        <v>4477351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851">
        <v>15273.9</v>
      </c>
      <c r="H40" s="852"/>
      <c r="I40" s="852"/>
      <c r="J40" s="853"/>
      <c r="K40" s="851">
        <v>15682.15</v>
      </c>
      <c r="L40" s="852"/>
      <c r="M40" s="852"/>
      <c r="N40" s="853"/>
      <c r="O40" s="653">
        <v>15853.08</v>
      </c>
      <c r="P40" s="653"/>
      <c r="Q40" s="653"/>
      <c r="R40" s="654"/>
      <c r="S40" s="71"/>
      <c r="T40" s="630"/>
      <c r="U40" s="630"/>
      <c r="V40" s="621" t="s">
        <v>180</v>
      </c>
      <c r="W40" s="41" t="s">
        <v>119</v>
      </c>
      <c r="X40" s="42"/>
      <c r="Y40" s="43"/>
      <c r="Z40" s="433">
        <v>6274391</v>
      </c>
      <c r="AA40" s="434">
        <v>6324877</v>
      </c>
      <c r="AB40" s="435">
        <v>6411217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851">
        <v>697.76</v>
      </c>
      <c r="H41" s="852"/>
      <c r="I41" s="852"/>
      <c r="J41" s="853"/>
      <c r="K41" s="851">
        <v>773.63</v>
      </c>
      <c r="L41" s="852"/>
      <c r="M41" s="852"/>
      <c r="N41" s="853"/>
      <c r="O41" s="653">
        <v>928.01</v>
      </c>
      <c r="P41" s="653"/>
      <c r="Q41" s="653"/>
      <c r="R41" s="654"/>
      <c r="S41" s="71"/>
      <c r="T41" s="630"/>
      <c r="U41" s="630"/>
      <c r="V41" s="628"/>
      <c r="W41" s="41" t="s">
        <v>121</v>
      </c>
      <c r="X41" s="67"/>
      <c r="Y41" s="145"/>
      <c r="Z41" s="433">
        <v>2282628</v>
      </c>
      <c r="AA41" s="434">
        <v>2426878</v>
      </c>
      <c r="AB41" s="435">
        <v>2446376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851">
        <v>16372.4</v>
      </c>
      <c r="H42" s="852"/>
      <c r="I42" s="852"/>
      <c r="J42" s="853"/>
      <c r="K42" s="851">
        <v>17193.12</v>
      </c>
      <c r="L42" s="852"/>
      <c r="M42" s="852"/>
      <c r="N42" s="853"/>
      <c r="O42" s="653">
        <v>18292.79</v>
      </c>
      <c r="P42" s="653"/>
      <c r="Q42" s="653"/>
      <c r="R42" s="654"/>
      <c r="S42" s="71"/>
      <c r="T42" s="630"/>
      <c r="U42" s="630"/>
      <c r="V42" s="69" t="s">
        <v>124</v>
      </c>
      <c r="W42" s="41"/>
      <c r="X42" s="42"/>
      <c r="Y42" s="43"/>
      <c r="Z42" s="451">
        <v>847733</v>
      </c>
      <c r="AA42" s="452">
        <v>946678</v>
      </c>
      <c r="AB42" s="453">
        <v>993605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851">
        <v>9825.35</v>
      </c>
      <c r="H43" s="852"/>
      <c r="I43" s="852"/>
      <c r="J43" s="853"/>
      <c r="K43" s="851">
        <v>10427.67</v>
      </c>
      <c r="L43" s="852"/>
      <c r="M43" s="852"/>
      <c r="N43" s="853"/>
      <c r="O43" s="653">
        <v>11053.98</v>
      </c>
      <c r="P43" s="653"/>
      <c r="Q43" s="653"/>
      <c r="R43" s="654"/>
      <c r="S43" s="71"/>
      <c r="T43" s="630"/>
      <c r="U43" s="630"/>
      <c r="V43" s="621" t="s">
        <v>180</v>
      </c>
      <c r="W43" s="41" t="s">
        <v>127</v>
      </c>
      <c r="X43" s="42"/>
      <c r="Y43" s="43"/>
      <c r="Z43" s="433">
        <v>543047</v>
      </c>
      <c r="AA43" s="434">
        <v>661999</v>
      </c>
      <c r="AB43" s="435">
        <v>712922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851">
        <v>794.1</v>
      </c>
      <c r="H44" s="852"/>
      <c r="I44" s="852"/>
      <c r="J44" s="853"/>
      <c r="K44" s="851">
        <v>954.78</v>
      </c>
      <c r="L44" s="852"/>
      <c r="M44" s="852"/>
      <c r="N44" s="853"/>
      <c r="O44" s="653">
        <v>1058.05</v>
      </c>
      <c r="P44" s="653"/>
      <c r="Q44" s="653"/>
      <c r="R44" s="654"/>
      <c r="S44" s="71"/>
      <c r="T44" s="630"/>
      <c r="U44" s="630"/>
      <c r="V44" s="622"/>
      <c r="W44" s="41" t="s">
        <v>130</v>
      </c>
      <c r="X44" s="42"/>
      <c r="Y44" s="43"/>
      <c r="Z44" s="454">
        <v>296491</v>
      </c>
      <c r="AA44" s="455">
        <v>274306</v>
      </c>
      <c r="AB44" s="456">
        <v>262630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851">
        <v>1271.57</v>
      </c>
      <c r="H45" s="852"/>
      <c r="I45" s="852"/>
      <c r="J45" s="853"/>
      <c r="K45" s="851">
        <v>455.8</v>
      </c>
      <c r="L45" s="852"/>
      <c r="M45" s="852"/>
      <c r="N45" s="853"/>
      <c r="O45" s="857">
        <v>-501.72</v>
      </c>
      <c r="P45" s="858"/>
      <c r="Q45" s="858"/>
      <c r="R45" s="859"/>
      <c r="S45" s="71"/>
      <c r="T45" s="630"/>
      <c r="U45" s="630"/>
      <c r="V45" s="628"/>
      <c r="W45" s="41" t="s">
        <v>132</v>
      </c>
      <c r="X45" s="42"/>
      <c r="Y45" s="43"/>
      <c r="Z45" s="433">
        <v>8195</v>
      </c>
      <c r="AA45" s="434">
        <v>10373</v>
      </c>
      <c r="AB45" s="435">
        <v>18053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851">
        <v>548.47</v>
      </c>
      <c r="H46" s="852"/>
      <c r="I46" s="852"/>
      <c r="J46" s="853"/>
      <c r="K46" s="851">
        <v>543.19</v>
      </c>
      <c r="L46" s="852"/>
      <c r="M46" s="852"/>
      <c r="N46" s="853"/>
      <c r="O46" s="652">
        <v>585.84</v>
      </c>
      <c r="P46" s="653"/>
      <c r="Q46" s="653"/>
      <c r="R46" s="654"/>
      <c r="S46" s="71"/>
      <c r="T46" s="630"/>
      <c r="U46" s="630"/>
      <c r="V46" s="157" t="s">
        <v>135</v>
      </c>
      <c r="W46" s="158"/>
      <c r="X46" s="159"/>
      <c r="Y46" s="160"/>
      <c r="Z46" s="451">
        <v>40712</v>
      </c>
      <c r="AA46" s="452">
        <v>32807</v>
      </c>
      <c r="AB46" s="453">
        <v>39375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851">
        <v>29182.12</v>
      </c>
      <c r="H47" s="852"/>
      <c r="I47" s="852"/>
      <c r="J47" s="853"/>
      <c r="K47" s="851">
        <v>30000.56</v>
      </c>
      <c r="L47" s="852"/>
      <c r="M47" s="852"/>
      <c r="N47" s="853"/>
      <c r="O47" s="653">
        <v>28856.01</v>
      </c>
      <c r="P47" s="653"/>
      <c r="Q47" s="653"/>
      <c r="R47" s="654"/>
      <c r="S47" s="71"/>
      <c r="T47" s="630"/>
      <c r="U47" s="631"/>
      <c r="V47" s="118" t="s">
        <v>138</v>
      </c>
      <c r="W47" s="119"/>
      <c r="X47" s="120"/>
      <c r="Y47" s="121"/>
      <c r="Z47" s="448">
        <f>Z39+Z42+Z46</f>
        <v>5392278</v>
      </c>
      <c r="AA47" s="449">
        <f>AA39+AA42+AA46</f>
        <v>5389554</v>
      </c>
      <c r="AB47" s="450">
        <f>AB39+AB42+AB46</f>
        <v>5510331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864">
        <v>28887.2</v>
      </c>
      <c r="H48" s="865"/>
      <c r="I48" s="865"/>
      <c r="J48" s="866"/>
      <c r="K48" s="864">
        <v>29877.62</v>
      </c>
      <c r="L48" s="865"/>
      <c r="M48" s="865"/>
      <c r="N48" s="866"/>
      <c r="O48" s="867">
        <v>30589.76</v>
      </c>
      <c r="P48" s="867"/>
      <c r="Q48" s="867"/>
      <c r="R48" s="868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430"/>
      <c r="AA48" s="431"/>
      <c r="AB48" s="432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7">
        <v>60.01</v>
      </c>
      <c r="H49" s="728"/>
      <c r="I49" s="728"/>
      <c r="J49" s="825"/>
      <c r="K49" s="727">
        <v>60.6</v>
      </c>
      <c r="L49" s="728"/>
      <c r="M49" s="728"/>
      <c r="N49" s="825"/>
      <c r="O49" s="635">
        <v>60.42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433">
        <v>96893</v>
      </c>
      <c r="AA49" s="434">
        <v>67940</v>
      </c>
      <c r="AB49" s="435">
        <v>102607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4">
        <v>3.57</v>
      </c>
      <c r="H50" s="725"/>
      <c r="I50" s="725"/>
      <c r="J50" s="824"/>
      <c r="K50" s="724">
        <v>3.3</v>
      </c>
      <c r="L50" s="725"/>
      <c r="M50" s="725"/>
      <c r="N50" s="824"/>
      <c r="O50" s="624">
        <v>2.98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433"/>
      <c r="AA50" s="434"/>
      <c r="AB50" s="435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4">
        <v>7.98</v>
      </c>
      <c r="H51" s="725"/>
      <c r="I51" s="725"/>
      <c r="J51" s="824"/>
      <c r="K51" s="724">
        <v>7.9</v>
      </c>
      <c r="L51" s="725"/>
      <c r="M51" s="725"/>
      <c r="N51" s="824"/>
      <c r="O51" s="624">
        <v>7.89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445">
        <v>88218</v>
      </c>
      <c r="AA51" s="446">
        <v>58941</v>
      </c>
      <c r="AB51" s="447">
        <v>94314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4">
        <v>10.4</v>
      </c>
      <c r="H52" s="725"/>
      <c r="I52" s="725"/>
      <c r="J52" s="824"/>
      <c r="K52" s="724">
        <v>11.3</v>
      </c>
      <c r="L52" s="725"/>
      <c r="M52" s="725"/>
      <c r="N52" s="824"/>
      <c r="O52" s="624">
        <v>11.26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457">
        <f>Z48+Z49</f>
        <v>96893</v>
      </c>
      <c r="AA52" s="458">
        <f>AA48+AA49</f>
        <v>67940</v>
      </c>
      <c r="AB52" s="459">
        <f>AB48+AB49</f>
        <v>102607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0">
        <v>17.97</v>
      </c>
      <c r="H53" s="731"/>
      <c r="I53" s="731"/>
      <c r="J53" s="826"/>
      <c r="K53" s="730">
        <v>16.9</v>
      </c>
      <c r="L53" s="731"/>
      <c r="M53" s="731"/>
      <c r="N53" s="826"/>
      <c r="O53" s="639">
        <v>17.4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430">
        <v>5955956</v>
      </c>
      <c r="AA53" s="431">
        <v>5929079</v>
      </c>
      <c r="AB53" s="28">
        <v>5999872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7">
        <v>57.18</v>
      </c>
      <c r="H54" s="728"/>
      <c r="I54" s="728"/>
      <c r="J54" s="825"/>
      <c r="K54" s="727">
        <v>60.46</v>
      </c>
      <c r="L54" s="728"/>
      <c r="M54" s="728"/>
      <c r="N54" s="825"/>
      <c r="O54" s="635">
        <v>62.01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433">
        <v>3743924</v>
      </c>
      <c r="AA54" s="434">
        <v>3865996</v>
      </c>
      <c r="AB54" s="36">
        <v>4009628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4">
        <v>874.91</v>
      </c>
      <c r="H55" s="725"/>
      <c r="I55" s="725"/>
      <c r="J55" s="824"/>
      <c r="K55" s="724">
        <v>1393.4</v>
      </c>
      <c r="L55" s="725"/>
      <c r="M55" s="725"/>
      <c r="N55" s="824"/>
      <c r="O55" s="624">
        <v>968.35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433">
        <v>2212032</v>
      </c>
      <c r="AA55" s="434">
        <v>2063083</v>
      </c>
      <c r="AB55" s="36">
        <v>1990244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4">
        <v>107.76</v>
      </c>
      <c r="H56" s="725"/>
      <c r="I56" s="725"/>
      <c r="J56" s="824"/>
      <c r="K56" s="724">
        <v>102.65</v>
      </c>
      <c r="L56" s="725"/>
      <c r="M56" s="725"/>
      <c r="N56" s="824"/>
      <c r="O56" s="624">
        <v>97.25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433"/>
      <c r="AA56" s="434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4">
        <v>101.02</v>
      </c>
      <c r="H57" s="725"/>
      <c r="I57" s="725"/>
      <c r="J57" s="824"/>
      <c r="K57" s="724">
        <v>100.41</v>
      </c>
      <c r="L57" s="725"/>
      <c r="M57" s="725"/>
      <c r="N57" s="824"/>
      <c r="O57" s="624">
        <v>94.33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613">
        <v>-660571</v>
      </c>
      <c r="AA57" s="614">
        <v>-607465</v>
      </c>
      <c r="AB57" s="615">
        <v>-592148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4">
        <v>86.87</v>
      </c>
      <c r="H58" s="725"/>
      <c r="I58" s="725"/>
      <c r="J58" s="824"/>
      <c r="K58" s="724">
        <v>81.95</v>
      </c>
      <c r="L58" s="725"/>
      <c r="M58" s="725"/>
      <c r="N58" s="824"/>
      <c r="O58" s="624">
        <v>88.24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433">
        <v>862732</v>
      </c>
      <c r="AA58" s="434">
        <v>865197</v>
      </c>
      <c r="AB58" s="36">
        <v>933819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4"/>
      <c r="H59" s="725"/>
      <c r="I59" s="725"/>
      <c r="J59" s="824"/>
      <c r="K59" s="724"/>
      <c r="L59" s="725"/>
      <c r="M59" s="725"/>
      <c r="N59" s="824"/>
      <c r="O59" s="624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433">
        <v>16978</v>
      </c>
      <c r="AA59" s="434">
        <v>16978</v>
      </c>
      <c r="AB59" s="36">
        <v>16978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4">
        <v>7.65</v>
      </c>
      <c r="H60" s="725"/>
      <c r="I60" s="725"/>
      <c r="J60" s="824"/>
      <c r="K60" s="724">
        <v>7.684</v>
      </c>
      <c r="L60" s="725"/>
      <c r="M60" s="725"/>
      <c r="N60" s="824"/>
      <c r="O60" s="624">
        <v>8.38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611">
        <v>-1540281</v>
      </c>
      <c r="AA60" s="612">
        <v>-1489640</v>
      </c>
      <c r="AB60" s="183">
        <v>-1542945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4">
        <v>3.75</v>
      </c>
      <c r="H61" s="725"/>
      <c r="I61" s="725"/>
      <c r="J61" s="824"/>
      <c r="K61" s="724">
        <v>3.43</v>
      </c>
      <c r="L61" s="725"/>
      <c r="M61" s="725"/>
      <c r="N61" s="824"/>
      <c r="O61" s="624">
        <v>3.31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457">
        <f>Z53+Z57</f>
        <v>5295385</v>
      </c>
      <c r="AA61" s="458">
        <f>AA53+AA57</f>
        <v>5321614</v>
      </c>
      <c r="AB61" s="459">
        <f>AB53+AB57</f>
        <v>5407724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4">
        <v>11.4</v>
      </c>
      <c r="H62" s="725"/>
      <c r="I62" s="725"/>
      <c r="J62" s="824"/>
      <c r="K62" s="724">
        <v>11.11</v>
      </c>
      <c r="L62" s="725"/>
      <c r="M62" s="725"/>
      <c r="N62" s="824"/>
      <c r="O62" s="624">
        <v>11.7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4">
        <v>63</v>
      </c>
      <c r="H63" s="725"/>
      <c r="I63" s="725"/>
      <c r="J63" s="824"/>
      <c r="K63" s="724">
        <v>63.73</v>
      </c>
      <c r="L63" s="725"/>
      <c r="M63" s="725"/>
      <c r="N63" s="824"/>
      <c r="O63" s="624">
        <v>67.17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0">
        <v>9.49</v>
      </c>
      <c r="H64" s="731"/>
      <c r="I64" s="731"/>
      <c r="J64" s="826"/>
      <c r="K64" s="730">
        <v>10.43</v>
      </c>
      <c r="L64" s="731"/>
      <c r="M64" s="731"/>
      <c r="N64" s="826"/>
      <c r="O64" s="639">
        <v>10.99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434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17624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24563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v>1000632</v>
      </c>
      <c r="AA6" s="27">
        <v>1022129</v>
      </c>
      <c r="AB6" s="28">
        <v>1006728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405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v>1000632</v>
      </c>
      <c r="AA7" s="35">
        <v>1021972</v>
      </c>
      <c r="AB7" s="36">
        <v>1006631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406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925525</v>
      </c>
      <c r="AA8" s="35">
        <v>941251</v>
      </c>
      <c r="AB8" s="36">
        <v>931783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374490</v>
      </c>
      <c r="AA9" s="35">
        <v>374950</v>
      </c>
      <c r="AB9" s="36">
        <v>346040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80</v>
      </c>
      <c r="H10" s="49" t="s">
        <v>181</v>
      </c>
      <c r="I10" s="50">
        <v>80</v>
      </c>
      <c r="J10" s="51" t="s">
        <v>173</v>
      </c>
      <c r="K10" s="52">
        <v>80</v>
      </c>
      <c r="L10" s="53" t="s">
        <v>181</v>
      </c>
      <c r="M10" s="48">
        <v>72</v>
      </c>
      <c r="N10" s="51" t="s">
        <v>173</v>
      </c>
      <c r="O10" s="52">
        <v>80</v>
      </c>
      <c r="P10" s="53" t="s">
        <v>181</v>
      </c>
      <c r="Q10" s="48">
        <v>80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461644</v>
      </c>
      <c r="AA10" s="35">
        <v>467647</v>
      </c>
      <c r="AB10" s="36">
        <v>486272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32</v>
      </c>
      <c r="H11" s="59" t="s">
        <v>181</v>
      </c>
      <c r="I11" s="60">
        <v>32</v>
      </c>
      <c r="J11" s="61" t="s">
        <v>173</v>
      </c>
      <c r="K11" s="62">
        <v>32</v>
      </c>
      <c r="L11" s="63" t="s">
        <v>181</v>
      </c>
      <c r="M11" s="58">
        <v>24</v>
      </c>
      <c r="N11" s="61" t="s">
        <v>173</v>
      </c>
      <c r="O11" s="62">
        <v>32</v>
      </c>
      <c r="P11" s="63" t="s">
        <v>181</v>
      </c>
      <c r="Q11" s="58">
        <v>32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19830</v>
      </c>
      <c r="AA11" s="35">
        <v>24708</v>
      </c>
      <c r="AB11" s="36">
        <v>27318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>
        <v>48</v>
      </c>
      <c r="H12" s="59" t="s">
        <v>181</v>
      </c>
      <c r="I12" s="60">
        <v>48</v>
      </c>
      <c r="J12" s="64" t="s">
        <v>173</v>
      </c>
      <c r="K12" s="62">
        <v>48</v>
      </c>
      <c r="L12" s="63" t="s">
        <v>181</v>
      </c>
      <c r="M12" s="58">
        <v>48</v>
      </c>
      <c r="N12" s="61" t="s">
        <v>173</v>
      </c>
      <c r="O12" s="62">
        <v>48</v>
      </c>
      <c r="P12" s="63" t="s">
        <v>181</v>
      </c>
      <c r="Q12" s="58">
        <v>48</v>
      </c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75107</v>
      </c>
      <c r="AA12" s="35">
        <v>80721</v>
      </c>
      <c r="AB12" s="36">
        <v>74848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71607</v>
      </c>
      <c r="AA13" s="35">
        <v>76869</v>
      </c>
      <c r="AB13" s="36">
        <v>72085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>
        <v>157</v>
      </c>
      <c r="AB14" s="36">
        <v>97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v>971917</v>
      </c>
      <c r="AA15" s="35">
        <v>971179</v>
      </c>
      <c r="AB15" s="36">
        <v>980186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16</v>
      </c>
      <c r="H16" s="673"/>
      <c r="I16" s="673"/>
      <c r="J16" s="674"/>
      <c r="K16" s="675">
        <v>16</v>
      </c>
      <c r="L16" s="673"/>
      <c r="M16" s="673"/>
      <c r="N16" s="674"/>
      <c r="O16" s="675">
        <v>16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v>971917</v>
      </c>
      <c r="AA16" s="35">
        <v>970986</v>
      </c>
      <c r="AB16" s="36">
        <v>980185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5</v>
      </c>
      <c r="H17" s="677"/>
      <c r="I17" s="677"/>
      <c r="J17" s="678"/>
      <c r="K17" s="679">
        <v>5</v>
      </c>
      <c r="L17" s="677"/>
      <c r="M17" s="677"/>
      <c r="N17" s="678"/>
      <c r="O17" s="679">
        <v>5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923023</v>
      </c>
      <c r="AA17" s="35">
        <v>921175</v>
      </c>
      <c r="AB17" s="36">
        <v>930326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3506</v>
      </c>
      <c r="H18" s="663"/>
      <c r="I18" s="663"/>
      <c r="J18" s="664"/>
      <c r="K18" s="665">
        <v>3818</v>
      </c>
      <c r="L18" s="663"/>
      <c r="M18" s="663"/>
      <c r="N18" s="664"/>
      <c r="O18" s="665">
        <v>3818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441239</v>
      </c>
      <c r="AA18" s="35">
        <v>428389</v>
      </c>
      <c r="AB18" s="36">
        <v>444019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295800</v>
      </c>
      <c r="AA19" s="35">
        <v>309452</v>
      </c>
      <c r="AB19" s="36">
        <v>310616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68.9</v>
      </c>
      <c r="H20" s="85" t="s">
        <v>181</v>
      </c>
      <c r="I20" s="91">
        <f>G20/G10*100</f>
        <v>86.125</v>
      </c>
      <c r="J20" s="87" t="s">
        <v>173</v>
      </c>
      <c r="K20" s="88">
        <v>62.8</v>
      </c>
      <c r="L20" s="89" t="s">
        <v>181</v>
      </c>
      <c r="M20" s="185">
        <f>K20/K10*100</f>
        <v>78.49999999999999</v>
      </c>
      <c r="N20" s="87" t="s">
        <v>173</v>
      </c>
      <c r="O20" s="88">
        <v>63</v>
      </c>
      <c r="P20" s="89" t="s">
        <v>181</v>
      </c>
      <c r="Q20" s="185">
        <f>O20/O10*100</f>
        <v>78.75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74069</v>
      </c>
      <c r="AA20" s="35">
        <v>42232</v>
      </c>
      <c r="AB20" s="36">
        <v>43470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7.5</v>
      </c>
      <c r="H21" s="85" t="s">
        <v>181</v>
      </c>
      <c r="I21" s="91">
        <f>G21/G10*100</f>
        <v>9.375</v>
      </c>
      <c r="J21" s="87" t="s">
        <v>173</v>
      </c>
      <c r="K21" s="88">
        <v>5.4</v>
      </c>
      <c r="L21" s="89" t="s">
        <v>181</v>
      </c>
      <c r="M21" s="91">
        <f>K21/K10*100</f>
        <v>6.75</v>
      </c>
      <c r="N21" s="87" t="s">
        <v>173</v>
      </c>
      <c r="O21" s="88">
        <v>5.8</v>
      </c>
      <c r="P21" s="89" t="s">
        <v>181</v>
      </c>
      <c r="Q21" s="91">
        <f>O21/O10*100</f>
        <v>7.249999999999999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48894</v>
      </c>
      <c r="AA21" s="35">
        <v>49811</v>
      </c>
      <c r="AB21" s="36">
        <v>49859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39.9</v>
      </c>
      <c r="H22" s="85" t="s">
        <v>181</v>
      </c>
      <c r="I22" s="91">
        <f>G22/G10*100</f>
        <v>49.875</v>
      </c>
      <c r="J22" s="87" t="s">
        <v>173</v>
      </c>
      <c r="K22" s="88">
        <v>41.1</v>
      </c>
      <c r="L22" s="89" t="s">
        <v>181</v>
      </c>
      <c r="M22" s="91">
        <f>K22/K10*100</f>
        <v>51.37500000000001</v>
      </c>
      <c r="N22" s="87" t="s">
        <v>173</v>
      </c>
      <c r="O22" s="88">
        <v>39.9</v>
      </c>
      <c r="P22" s="89" t="s">
        <v>181</v>
      </c>
      <c r="Q22" s="91">
        <f>O22/O10*100</f>
        <v>49.875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29300</v>
      </c>
      <c r="AA22" s="35">
        <v>27994</v>
      </c>
      <c r="AB22" s="36">
        <v>26437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5</v>
      </c>
      <c r="H23" s="77" t="s">
        <v>181</v>
      </c>
      <c r="I23" s="96">
        <f>G23/G10*100</f>
        <v>6.25</v>
      </c>
      <c r="J23" s="97" t="s">
        <v>173</v>
      </c>
      <c r="K23" s="98">
        <v>5</v>
      </c>
      <c r="L23" s="99" t="s">
        <v>181</v>
      </c>
      <c r="M23" s="96">
        <f>K23/K10*100</f>
        <v>6.25</v>
      </c>
      <c r="N23" s="97" t="s">
        <v>173</v>
      </c>
      <c r="O23" s="98">
        <v>5</v>
      </c>
      <c r="P23" s="99" t="s">
        <v>181</v>
      </c>
      <c r="Q23" s="96">
        <f>O23/O10*100</f>
        <v>6.25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>
        <v>193</v>
      </c>
      <c r="AB23" s="36">
        <v>1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v>66.2</v>
      </c>
      <c r="H24" s="696"/>
      <c r="I24" s="696"/>
      <c r="J24" s="697"/>
      <c r="K24" s="698">
        <v>69.2</v>
      </c>
      <c r="L24" s="696"/>
      <c r="M24" s="696"/>
      <c r="N24" s="697"/>
      <c r="O24" s="698">
        <v>66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28715</v>
      </c>
      <c r="AA24" s="101">
        <f>AA7-AA16</f>
        <v>50986</v>
      </c>
      <c r="AB24" s="102">
        <f>AB7-AB16</f>
        <v>26446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66.2</v>
      </c>
      <c r="H25" s="624"/>
      <c r="I25" s="624"/>
      <c r="J25" s="625"/>
      <c r="K25" s="626">
        <v>72.2</v>
      </c>
      <c r="L25" s="624"/>
      <c r="M25" s="624"/>
      <c r="N25" s="625"/>
      <c r="O25" s="626">
        <v>73.3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28715</v>
      </c>
      <c r="AA25" s="107">
        <f>AA6-AA15</f>
        <v>50950</v>
      </c>
      <c r="AB25" s="108">
        <f>AB6-AB15</f>
        <v>26542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66.2</v>
      </c>
      <c r="H26" s="624"/>
      <c r="I26" s="624"/>
      <c r="J26" s="625"/>
      <c r="K26" s="626">
        <v>72.2</v>
      </c>
      <c r="L26" s="624"/>
      <c r="M26" s="624"/>
      <c r="N26" s="625"/>
      <c r="O26" s="626">
        <v>73.3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105186</v>
      </c>
      <c r="AA26" s="27">
        <v>102633</v>
      </c>
      <c r="AB26" s="28">
        <v>44634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19.1</v>
      </c>
      <c r="H27" s="624"/>
      <c r="I27" s="624"/>
      <c r="J27" s="625"/>
      <c r="K27" s="626">
        <v>18.3</v>
      </c>
      <c r="L27" s="624"/>
      <c r="M27" s="624"/>
      <c r="N27" s="625"/>
      <c r="O27" s="626">
        <v>17.7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35000</v>
      </c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53</v>
      </c>
      <c r="H28" s="648"/>
      <c r="I28" s="648"/>
      <c r="J28" s="649"/>
      <c r="K28" s="650">
        <v>55</v>
      </c>
      <c r="L28" s="648"/>
      <c r="M28" s="648"/>
      <c r="N28" s="649"/>
      <c r="O28" s="650">
        <v>52.8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37597</v>
      </c>
      <c r="AA28" s="35">
        <v>37323</v>
      </c>
      <c r="AB28" s="36">
        <v>40734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117</v>
      </c>
      <c r="H29" s="648"/>
      <c r="I29" s="648"/>
      <c r="J29" s="649"/>
      <c r="K29" s="650">
        <v>113</v>
      </c>
      <c r="L29" s="648"/>
      <c r="M29" s="648"/>
      <c r="N29" s="649"/>
      <c r="O29" s="650">
        <v>111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134145</v>
      </c>
      <c r="AA29" s="35">
        <v>140341</v>
      </c>
      <c r="AB29" s="36">
        <v>95377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19379</v>
      </c>
      <c r="H30" s="656"/>
      <c r="I30" s="656"/>
      <c r="J30" s="657"/>
      <c r="K30" s="658">
        <v>20215</v>
      </c>
      <c r="L30" s="656"/>
      <c r="M30" s="656"/>
      <c r="N30" s="657"/>
      <c r="O30" s="658">
        <v>19272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81762</v>
      </c>
      <c r="AA30" s="35">
        <v>82734</v>
      </c>
      <c r="AB30" s="36">
        <v>33932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31358</v>
      </c>
      <c r="H31" s="656"/>
      <c r="I31" s="656"/>
      <c r="J31" s="657"/>
      <c r="K31" s="658">
        <v>30144</v>
      </c>
      <c r="L31" s="656"/>
      <c r="M31" s="656"/>
      <c r="N31" s="657"/>
      <c r="O31" s="658">
        <v>29660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52383</v>
      </c>
      <c r="AA31" s="35">
        <v>57607</v>
      </c>
      <c r="AB31" s="36">
        <v>61445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161.8</v>
      </c>
      <c r="H32" s="624"/>
      <c r="I32" s="624"/>
      <c r="J32" s="625"/>
      <c r="K32" s="626">
        <v>149.1</v>
      </c>
      <c r="L32" s="624"/>
      <c r="M32" s="624"/>
      <c r="N32" s="625"/>
      <c r="O32" s="626">
        <v>153.9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-28959</v>
      </c>
      <c r="AA32" s="179">
        <f>AA26-AA29</f>
        <v>-37708</v>
      </c>
      <c r="AB32" s="180">
        <f>AB26-AB29</f>
        <v>-50743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18177</v>
      </c>
      <c r="H33" s="656"/>
      <c r="I33" s="656"/>
      <c r="J33" s="657"/>
      <c r="K33" s="658">
        <v>18724</v>
      </c>
      <c r="L33" s="656"/>
      <c r="M33" s="656"/>
      <c r="N33" s="657"/>
      <c r="O33" s="658">
        <v>17709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28959</v>
      </c>
      <c r="AA33" s="35">
        <v>37708</v>
      </c>
      <c r="AB33" s="36">
        <v>50743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7.6</v>
      </c>
      <c r="H34" s="624"/>
      <c r="I34" s="624"/>
      <c r="J34" s="625"/>
      <c r="K34" s="626">
        <v>9.4</v>
      </c>
      <c r="L34" s="624"/>
      <c r="M34" s="624"/>
      <c r="N34" s="625"/>
      <c r="O34" s="626">
        <v>9.2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12.2</v>
      </c>
      <c r="H35" s="624"/>
      <c r="I35" s="624"/>
      <c r="J35" s="625"/>
      <c r="K35" s="626">
        <v>14</v>
      </c>
      <c r="L35" s="624"/>
      <c r="M35" s="624"/>
      <c r="N35" s="625"/>
      <c r="O35" s="626">
        <v>14.1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337755</v>
      </c>
      <c r="AA35" s="123">
        <v>400632</v>
      </c>
      <c r="AB35" s="117">
        <v>422405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326</v>
      </c>
      <c r="H36" s="648"/>
      <c r="I36" s="648"/>
      <c r="J36" s="649"/>
      <c r="K36" s="650">
        <v>391</v>
      </c>
      <c r="L36" s="648"/>
      <c r="M36" s="648"/>
      <c r="N36" s="649"/>
      <c r="O36" s="650">
        <v>397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129034</v>
      </c>
      <c r="AA36" s="27">
        <v>138900</v>
      </c>
      <c r="AB36" s="28">
        <v>140237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117.4</v>
      </c>
      <c r="H37" s="624"/>
      <c r="I37" s="624"/>
      <c r="J37" s="625"/>
      <c r="K37" s="626">
        <v>111.8</v>
      </c>
      <c r="L37" s="624"/>
      <c r="M37" s="624"/>
      <c r="N37" s="625"/>
      <c r="O37" s="626">
        <v>115.6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127000</v>
      </c>
      <c r="AA37" s="132">
        <v>138000</v>
      </c>
      <c r="AB37" s="133">
        <v>139237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19325</v>
      </c>
      <c r="H38" s="648"/>
      <c r="I38" s="648"/>
      <c r="J38" s="649"/>
      <c r="K38" s="650">
        <v>18548</v>
      </c>
      <c r="L38" s="648"/>
      <c r="M38" s="648"/>
      <c r="N38" s="649"/>
      <c r="O38" s="650">
        <v>17956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1051919</v>
      </c>
      <c r="AA38" s="136">
        <v>1091840</v>
      </c>
      <c r="AB38" s="137">
        <v>1054947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14722</v>
      </c>
      <c r="H39" s="648"/>
      <c r="I39" s="648"/>
      <c r="J39" s="649"/>
      <c r="K39" s="650">
        <v>15514</v>
      </c>
      <c r="L39" s="648"/>
      <c r="M39" s="648"/>
      <c r="N39" s="649"/>
      <c r="O39" s="650">
        <v>16395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1060239</v>
      </c>
      <c r="AA39" s="27">
        <v>1067558</v>
      </c>
      <c r="AB39" s="28">
        <v>1055115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17920</v>
      </c>
      <c r="H40" s="648"/>
      <c r="I40" s="648"/>
      <c r="J40" s="649"/>
      <c r="K40" s="650">
        <v>18280</v>
      </c>
      <c r="L40" s="648"/>
      <c r="M40" s="648"/>
      <c r="N40" s="649"/>
      <c r="O40" s="650">
        <v>18543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2364300</v>
      </c>
      <c r="AA40" s="35">
        <v>2347923</v>
      </c>
      <c r="AB40" s="36">
        <v>2364639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5830</v>
      </c>
      <c r="H41" s="648"/>
      <c r="I41" s="648"/>
      <c r="J41" s="649"/>
      <c r="K41" s="650">
        <v>5971</v>
      </c>
      <c r="L41" s="648"/>
      <c r="M41" s="648"/>
      <c r="N41" s="649"/>
      <c r="O41" s="650">
        <v>6435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1308648</v>
      </c>
      <c r="AA41" s="35">
        <v>1284952</v>
      </c>
      <c r="AB41" s="36">
        <v>1314112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19156</v>
      </c>
      <c r="H42" s="648"/>
      <c r="I42" s="648"/>
      <c r="J42" s="649"/>
      <c r="K42" s="650">
        <v>19285</v>
      </c>
      <c r="L42" s="648"/>
      <c r="M42" s="648"/>
      <c r="N42" s="649"/>
      <c r="O42" s="650">
        <v>20032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440774</v>
      </c>
      <c r="AA42" s="149">
        <v>444906</v>
      </c>
      <c r="AB42" s="150">
        <v>483910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8697</v>
      </c>
      <c r="H43" s="648"/>
      <c r="I43" s="648"/>
      <c r="J43" s="649"/>
      <c r="K43" s="650">
        <v>8705</v>
      </c>
      <c r="L43" s="648"/>
      <c r="M43" s="648"/>
      <c r="N43" s="649"/>
      <c r="O43" s="650">
        <v>9074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255850</v>
      </c>
      <c r="AA43" s="35">
        <v>303485</v>
      </c>
      <c r="AB43" s="36">
        <v>329329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4966</v>
      </c>
      <c r="H44" s="648"/>
      <c r="I44" s="648"/>
      <c r="J44" s="649"/>
      <c r="K44" s="650">
        <v>5342</v>
      </c>
      <c r="L44" s="648"/>
      <c r="M44" s="648"/>
      <c r="N44" s="649"/>
      <c r="O44" s="650">
        <v>5567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174632</v>
      </c>
      <c r="AA44" s="154">
        <v>130441</v>
      </c>
      <c r="AB44" s="155">
        <v>143488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566</v>
      </c>
      <c r="H45" s="648"/>
      <c r="I45" s="648"/>
      <c r="J45" s="649"/>
      <c r="K45" s="650">
        <v>1012</v>
      </c>
      <c r="L45" s="648"/>
      <c r="M45" s="648"/>
      <c r="N45" s="649"/>
      <c r="O45" s="650">
        <v>542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10292</v>
      </c>
      <c r="AA45" s="35">
        <v>10980</v>
      </c>
      <c r="AB45" s="36">
        <v>11093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300</v>
      </c>
      <c r="H46" s="648"/>
      <c r="I46" s="648"/>
      <c r="J46" s="649"/>
      <c r="K46" s="650">
        <v>124</v>
      </c>
      <c r="L46" s="648"/>
      <c r="M46" s="648"/>
      <c r="N46" s="649"/>
      <c r="O46" s="650">
        <v>120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4328</v>
      </c>
      <c r="AA46" s="149">
        <v>7339</v>
      </c>
      <c r="AB46" s="150">
        <v>7186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31609</v>
      </c>
      <c r="H47" s="648"/>
      <c r="I47" s="648"/>
      <c r="J47" s="649"/>
      <c r="K47" s="650">
        <v>33626</v>
      </c>
      <c r="L47" s="648"/>
      <c r="M47" s="648"/>
      <c r="N47" s="649"/>
      <c r="O47" s="650">
        <v>35456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1505341</v>
      </c>
      <c r="AA47" s="136">
        <f>AA39+AA42+AA46</f>
        <v>1519803</v>
      </c>
      <c r="AB47" s="137">
        <f>AB39+AB42+AB46</f>
        <v>1546211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31524</v>
      </c>
      <c r="H48" s="700"/>
      <c r="I48" s="700"/>
      <c r="J48" s="701"/>
      <c r="K48" s="702">
        <v>32909</v>
      </c>
      <c r="L48" s="700"/>
      <c r="M48" s="700"/>
      <c r="N48" s="701"/>
      <c r="O48" s="702">
        <v>35401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45.4</v>
      </c>
      <c r="H49" s="635"/>
      <c r="I49" s="635"/>
      <c r="J49" s="636"/>
      <c r="K49" s="637">
        <v>45.1</v>
      </c>
      <c r="L49" s="635"/>
      <c r="M49" s="635"/>
      <c r="N49" s="636"/>
      <c r="O49" s="637">
        <v>45.3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103019</v>
      </c>
      <c r="AA49" s="35">
        <v>44274</v>
      </c>
      <c r="AB49" s="36">
        <v>61505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3</v>
      </c>
      <c r="H50" s="624"/>
      <c r="I50" s="624"/>
      <c r="J50" s="625"/>
      <c r="K50" s="626">
        <v>2.9</v>
      </c>
      <c r="L50" s="624"/>
      <c r="M50" s="624"/>
      <c r="N50" s="625"/>
      <c r="O50" s="626">
        <v>2.7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7.6</v>
      </c>
      <c r="H51" s="624"/>
      <c r="I51" s="624"/>
      <c r="J51" s="625"/>
      <c r="K51" s="626">
        <v>4.3</v>
      </c>
      <c r="L51" s="624"/>
      <c r="M51" s="624"/>
      <c r="N51" s="625"/>
      <c r="O51" s="626">
        <v>4.4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103019</v>
      </c>
      <c r="AA51" s="132">
        <v>44274</v>
      </c>
      <c r="AB51" s="133">
        <v>61505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30.5</v>
      </c>
      <c r="H52" s="624"/>
      <c r="I52" s="624"/>
      <c r="J52" s="625"/>
      <c r="K52" s="626">
        <v>31.9</v>
      </c>
      <c r="L52" s="624"/>
      <c r="M52" s="624"/>
      <c r="N52" s="625"/>
      <c r="O52" s="626">
        <v>31.7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103019</v>
      </c>
      <c r="AA52" s="169">
        <f>AA48+AA49</f>
        <v>44274</v>
      </c>
      <c r="AB52" s="170">
        <f>AB48+AB49</f>
        <v>61505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13.5</v>
      </c>
      <c r="H53" s="639"/>
      <c r="I53" s="639"/>
      <c r="J53" s="640"/>
      <c r="K53" s="641">
        <v>15.8</v>
      </c>
      <c r="L53" s="639"/>
      <c r="M53" s="639"/>
      <c r="N53" s="640"/>
      <c r="O53" s="641">
        <v>15.9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2201927</v>
      </c>
      <c r="AA53" s="27">
        <v>2181643</v>
      </c>
      <c r="AB53" s="28">
        <v>2159696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25</v>
      </c>
      <c r="H54" s="635"/>
      <c r="I54" s="635"/>
      <c r="J54" s="636"/>
      <c r="K54" s="637">
        <v>33.3</v>
      </c>
      <c r="L54" s="635"/>
      <c r="M54" s="635"/>
      <c r="N54" s="636"/>
      <c r="O54" s="637">
        <v>37.3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1175600</v>
      </c>
      <c r="AA54" s="35">
        <v>1212923</v>
      </c>
      <c r="AB54" s="36">
        <v>1252421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427.9</v>
      </c>
      <c r="H55" s="624"/>
      <c r="I55" s="624"/>
      <c r="J55" s="625"/>
      <c r="K55" s="626">
        <v>1004.9</v>
      </c>
      <c r="L55" s="624"/>
      <c r="M55" s="624"/>
      <c r="N55" s="625"/>
      <c r="O55" s="626">
        <v>786.8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1026327</v>
      </c>
      <c r="AA55" s="35">
        <v>968720</v>
      </c>
      <c r="AB55" s="36">
        <v>907275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103</v>
      </c>
      <c r="H56" s="624"/>
      <c r="I56" s="624"/>
      <c r="J56" s="625"/>
      <c r="K56" s="626">
        <v>105.3</v>
      </c>
      <c r="L56" s="624"/>
      <c r="M56" s="624"/>
      <c r="N56" s="625"/>
      <c r="O56" s="626">
        <v>102.7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100.3</v>
      </c>
      <c r="H57" s="624"/>
      <c r="I57" s="624"/>
      <c r="J57" s="625"/>
      <c r="K57" s="626">
        <v>102.2</v>
      </c>
      <c r="L57" s="624"/>
      <c r="M57" s="624"/>
      <c r="N57" s="625"/>
      <c r="O57" s="626">
        <v>100.2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-799605</v>
      </c>
      <c r="AA57" s="179">
        <v>-706114</v>
      </c>
      <c r="AB57" s="180">
        <v>-674990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118.2</v>
      </c>
      <c r="H58" s="624"/>
      <c r="I58" s="624"/>
      <c r="J58" s="625"/>
      <c r="K58" s="626">
        <v>110.8</v>
      </c>
      <c r="L58" s="624"/>
      <c r="M58" s="624"/>
      <c r="N58" s="625"/>
      <c r="O58" s="626">
        <v>109.1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294335</v>
      </c>
      <c r="AA58" s="35">
        <v>336876</v>
      </c>
      <c r="AB58" s="36">
        <v>341458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5.6</v>
      </c>
      <c r="H60" s="624"/>
      <c r="I60" s="624"/>
      <c r="J60" s="625"/>
      <c r="K60" s="626">
        <v>6.1</v>
      </c>
      <c r="L60" s="624"/>
      <c r="M60" s="624"/>
      <c r="N60" s="625"/>
      <c r="O60" s="626">
        <v>6.6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-1093940</v>
      </c>
      <c r="AA60" s="182">
        <v>-1042990</v>
      </c>
      <c r="AB60" s="183">
        <v>-1016448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3.2</v>
      </c>
      <c r="H61" s="624"/>
      <c r="I61" s="624"/>
      <c r="J61" s="625"/>
      <c r="K61" s="626">
        <v>3</v>
      </c>
      <c r="L61" s="624"/>
      <c r="M61" s="624"/>
      <c r="N61" s="625"/>
      <c r="O61" s="626">
        <v>2.8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1402322</v>
      </c>
      <c r="AA61" s="169">
        <f>AA53+AA57</f>
        <v>1475529</v>
      </c>
      <c r="AB61" s="170">
        <f>AB53+AB57</f>
        <v>1484706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8.8</v>
      </c>
      <c r="H62" s="624"/>
      <c r="I62" s="624"/>
      <c r="J62" s="625"/>
      <c r="K62" s="626">
        <v>9.1</v>
      </c>
      <c r="L62" s="624"/>
      <c r="M62" s="624"/>
      <c r="N62" s="625"/>
      <c r="O62" s="626">
        <v>9.4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47.7</v>
      </c>
      <c r="H63" s="624"/>
      <c r="I63" s="624"/>
      <c r="J63" s="625"/>
      <c r="K63" s="626">
        <v>46.6</v>
      </c>
      <c r="L63" s="624"/>
      <c r="M63" s="624"/>
      <c r="N63" s="625"/>
      <c r="O63" s="626">
        <v>47.7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31.3</v>
      </c>
      <c r="H64" s="639"/>
      <c r="I64" s="639"/>
      <c r="J64" s="640"/>
      <c r="K64" s="641">
        <v>32.6</v>
      </c>
      <c r="L64" s="639"/>
      <c r="M64" s="639"/>
      <c r="N64" s="640"/>
      <c r="O64" s="641">
        <v>33.1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435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13">
        <v>18868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13">
        <v>24442</v>
      </c>
      <c r="H6" s="713"/>
      <c r="I6" s="713"/>
      <c r="J6" s="713"/>
      <c r="K6" s="713"/>
      <c r="L6" s="715" t="s">
        <v>237</v>
      </c>
      <c r="M6" s="715"/>
      <c r="N6" s="715"/>
      <c r="O6" s="186">
        <v>10</v>
      </c>
      <c r="P6" s="187" t="s">
        <v>238</v>
      </c>
      <c r="Q6" s="188">
        <v>1</v>
      </c>
      <c r="R6" s="189" t="s">
        <v>206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408">
        <v>1157750</v>
      </c>
      <c r="AA6" s="460">
        <v>1153889</v>
      </c>
      <c r="AB6" s="28">
        <f>AB7+AB14</f>
        <v>1160512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16" t="s">
        <v>407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410">
        <v>1157750</v>
      </c>
      <c r="AA7" s="461">
        <v>1153889</v>
      </c>
      <c r="AB7" s="36">
        <f>AB8+AB12</f>
        <v>1160512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44" t="s">
        <v>408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6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410">
        <v>648190</v>
      </c>
      <c r="AA8" s="461">
        <v>579228</v>
      </c>
      <c r="AB8" s="36">
        <v>733333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410">
        <v>375423</v>
      </c>
      <c r="AA9" s="461">
        <v>305141</v>
      </c>
      <c r="AB9" s="36">
        <v>426587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373">
        <v>100</v>
      </c>
      <c r="H10" s="370" t="s">
        <v>205</v>
      </c>
      <c r="I10" s="371">
        <v>100</v>
      </c>
      <c r="J10" s="372" t="s">
        <v>206</v>
      </c>
      <c r="K10" s="373">
        <v>100</v>
      </c>
      <c r="L10" s="370" t="s">
        <v>205</v>
      </c>
      <c r="M10" s="371">
        <v>100</v>
      </c>
      <c r="N10" s="462" t="s">
        <v>206</v>
      </c>
      <c r="O10" s="52">
        <f>SUM(O11:O15)</f>
        <v>100</v>
      </c>
      <c r="P10" s="53" t="s">
        <v>181</v>
      </c>
      <c r="Q10" s="48">
        <f>SUM(Q11:Q15)</f>
        <v>100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410">
        <v>208426</v>
      </c>
      <c r="AA10" s="461">
        <v>215600</v>
      </c>
      <c r="AB10" s="36">
        <v>237766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378">
        <v>55</v>
      </c>
      <c r="H11" s="375" t="s">
        <v>205</v>
      </c>
      <c r="I11" s="376">
        <v>55</v>
      </c>
      <c r="J11" s="377" t="s">
        <v>206</v>
      </c>
      <c r="K11" s="378">
        <v>55</v>
      </c>
      <c r="L11" s="375" t="s">
        <v>205</v>
      </c>
      <c r="M11" s="376">
        <v>55</v>
      </c>
      <c r="N11" s="463" t="s">
        <v>206</v>
      </c>
      <c r="O11" s="62">
        <v>55</v>
      </c>
      <c r="P11" s="63" t="s">
        <v>181</v>
      </c>
      <c r="Q11" s="58">
        <v>55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410">
        <v>26795</v>
      </c>
      <c r="AA11" s="461">
        <v>26046</v>
      </c>
      <c r="AB11" s="36">
        <v>29133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378">
        <v>45</v>
      </c>
      <c r="H12" s="375" t="s">
        <v>205</v>
      </c>
      <c r="I12" s="376">
        <v>45</v>
      </c>
      <c r="J12" s="377" t="s">
        <v>206</v>
      </c>
      <c r="K12" s="378">
        <v>45</v>
      </c>
      <c r="L12" s="375" t="s">
        <v>205</v>
      </c>
      <c r="M12" s="376">
        <v>45</v>
      </c>
      <c r="N12" s="463" t="s">
        <v>206</v>
      </c>
      <c r="O12" s="62">
        <v>45</v>
      </c>
      <c r="P12" s="63" t="s">
        <v>181</v>
      </c>
      <c r="Q12" s="58">
        <v>45</v>
      </c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410">
        <v>509560</v>
      </c>
      <c r="AA12" s="461">
        <v>574661</v>
      </c>
      <c r="AB12" s="36">
        <v>427179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378"/>
      <c r="H13" s="375" t="s">
        <v>205</v>
      </c>
      <c r="I13" s="376"/>
      <c r="J13" s="377" t="s">
        <v>206</v>
      </c>
      <c r="K13" s="378"/>
      <c r="L13" s="375" t="s">
        <v>205</v>
      </c>
      <c r="M13" s="376"/>
      <c r="N13" s="463" t="s">
        <v>206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410">
        <v>470243</v>
      </c>
      <c r="AA13" s="461">
        <v>522752</v>
      </c>
      <c r="AB13" s="36">
        <v>377813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378"/>
      <c r="H14" s="375" t="s">
        <v>205</v>
      </c>
      <c r="I14" s="376"/>
      <c r="J14" s="377" t="s">
        <v>206</v>
      </c>
      <c r="K14" s="378"/>
      <c r="L14" s="375" t="s">
        <v>205</v>
      </c>
      <c r="M14" s="376"/>
      <c r="N14" s="463" t="s">
        <v>206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410"/>
      <c r="AA14" s="461"/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378"/>
      <c r="H15" s="375" t="s">
        <v>205</v>
      </c>
      <c r="I15" s="376" t="s">
        <v>201</v>
      </c>
      <c r="J15" s="377" t="s">
        <v>206</v>
      </c>
      <c r="K15" s="378"/>
      <c r="L15" s="375" t="s">
        <v>205</v>
      </c>
      <c r="M15" s="376" t="s">
        <v>201</v>
      </c>
      <c r="N15" s="463" t="s">
        <v>206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410">
        <v>1142159</v>
      </c>
      <c r="AA15" s="461">
        <f>AA16+AA23</f>
        <v>1138573</v>
      </c>
      <c r="AB15" s="36">
        <f>AB16+AB23</f>
        <v>1134240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839">
        <v>28</v>
      </c>
      <c r="H16" s="837"/>
      <c r="I16" s="837"/>
      <c r="J16" s="838"/>
      <c r="K16" s="839">
        <v>28</v>
      </c>
      <c r="L16" s="837"/>
      <c r="M16" s="837"/>
      <c r="N16" s="870"/>
      <c r="O16" s="675">
        <v>28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410">
        <v>1142159</v>
      </c>
      <c r="AA16" s="461">
        <f>AA17+AA21</f>
        <v>1109901</v>
      </c>
      <c r="AB16" s="36">
        <f>AB17+AB21</f>
        <v>1134240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843">
        <v>5</v>
      </c>
      <c r="H17" s="841"/>
      <c r="I17" s="841"/>
      <c r="J17" s="842"/>
      <c r="K17" s="843">
        <v>5</v>
      </c>
      <c r="L17" s="841"/>
      <c r="M17" s="841"/>
      <c r="N17" s="871"/>
      <c r="O17" s="679">
        <v>5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410">
        <v>1100659</v>
      </c>
      <c r="AA17" s="461">
        <v>1073460</v>
      </c>
      <c r="AB17" s="36">
        <v>1098500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835">
        <v>6384</v>
      </c>
      <c r="H18" s="833"/>
      <c r="I18" s="833"/>
      <c r="J18" s="834"/>
      <c r="K18" s="835">
        <v>6384</v>
      </c>
      <c r="L18" s="833"/>
      <c r="M18" s="833"/>
      <c r="N18" s="869"/>
      <c r="O18" s="665">
        <v>6384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410">
        <v>643560</v>
      </c>
      <c r="AA18" s="461">
        <v>606261</v>
      </c>
      <c r="AB18" s="36">
        <v>589250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383">
        <v>0</v>
      </c>
      <c r="H19" s="380" t="s">
        <v>205</v>
      </c>
      <c r="I19" s="381">
        <v>0</v>
      </c>
      <c r="J19" s="382" t="s">
        <v>283</v>
      </c>
      <c r="K19" s="383"/>
      <c r="L19" s="380" t="s">
        <v>181</v>
      </c>
      <c r="M19" s="381" t="s">
        <v>184</v>
      </c>
      <c r="N19" s="464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410">
        <v>71561</v>
      </c>
      <c r="AA19" s="461">
        <v>71104</v>
      </c>
      <c r="AB19" s="36">
        <v>83346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378">
        <v>83</v>
      </c>
      <c r="H20" s="385" t="s">
        <v>205</v>
      </c>
      <c r="I20" s="386">
        <v>83</v>
      </c>
      <c r="J20" s="389" t="s">
        <v>206</v>
      </c>
      <c r="K20" s="378">
        <v>83.1</v>
      </c>
      <c r="L20" s="385" t="s">
        <v>181</v>
      </c>
      <c r="M20" s="386">
        <f>K20/K10*100</f>
        <v>83.1</v>
      </c>
      <c r="N20" s="465" t="s">
        <v>173</v>
      </c>
      <c r="O20" s="88">
        <v>84.1</v>
      </c>
      <c r="P20" s="89" t="s">
        <v>181</v>
      </c>
      <c r="Q20" s="185">
        <f>O20/O10*100</f>
        <v>84.1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410">
        <v>70682</v>
      </c>
      <c r="AA20" s="461">
        <v>81073</v>
      </c>
      <c r="AB20" s="36">
        <v>81159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378">
        <v>8</v>
      </c>
      <c r="H21" s="385" t="s">
        <v>205</v>
      </c>
      <c r="I21" s="391">
        <v>8</v>
      </c>
      <c r="J21" s="389" t="s">
        <v>206</v>
      </c>
      <c r="K21" s="378">
        <v>6.7</v>
      </c>
      <c r="L21" s="385" t="s">
        <v>181</v>
      </c>
      <c r="M21" s="391">
        <f>K21/K10*100</f>
        <v>6.7</v>
      </c>
      <c r="N21" s="465" t="s">
        <v>173</v>
      </c>
      <c r="O21" s="88">
        <v>7.1</v>
      </c>
      <c r="P21" s="89" t="s">
        <v>181</v>
      </c>
      <c r="Q21" s="91">
        <f>O21/O10*100</f>
        <v>7.1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410">
        <v>41500</v>
      </c>
      <c r="AA21" s="461">
        <v>36441</v>
      </c>
      <c r="AB21" s="36">
        <v>35740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378">
        <v>54</v>
      </c>
      <c r="H22" s="385" t="s">
        <v>205</v>
      </c>
      <c r="I22" s="391">
        <v>54</v>
      </c>
      <c r="J22" s="389" t="s">
        <v>206</v>
      </c>
      <c r="K22" s="378">
        <v>52.7</v>
      </c>
      <c r="L22" s="385" t="s">
        <v>181</v>
      </c>
      <c r="M22" s="391">
        <f>K22/K10*100</f>
        <v>52.7</v>
      </c>
      <c r="N22" s="465" t="s">
        <v>173</v>
      </c>
      <c r="O22" s="88">
        <v>54.4</v>
      </c>
      <c r="P22" s="89" t="s">
        <v>181</v>
      </c>
      <c r="Q22" s="91">
        <f>O22/O10*100</f>
        <v>54.400000000000006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410">
        <v>16175</v>
      </c>
      <c r="AA22" s="461">
        <v>15779</v>
      </c>
      <c r="AB22" s="36">
        <v>13890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395">
        <v>7</v>
      </c>
      <c r="H23" s="380" t="s">
        <v>205</v>
      </c>
      <c r="I23" s="393">
        <v>7</v>
      </c>
      <c r="J23" s="382" t="s">
        <v>206</v>
      </c>
      <c r="K23" s="395">
        <v>7.7</v>
      </c>
      <c r="L23" s="380" t="s">
        <v>181</v>
      </c>
      <c r="M23" s="393">
        <f>K23/K10*100</f>
        <v>7.7</v>
      </c>
      <c r="N23" s="464" t="s">
        <v>173</v>
      </c>
      <c r="O23" s="98">
        <v>8</v>
      </c>
      <c r="P23" s="99" t="s">
        <v>181</v>
      </c>
      <c r="Q23" s="96">
        <f>O23/O10*100</f>
        <v>8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410"/>
      <c r="AA23" s="461">
        <v>28672</v>
      </c>
      <c r="AB23" s="36"/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739">
        <v>56.9</v>
      </c>
      <c r="H24" s="740"/>
      <c r="I24" s="740"/>
      <c r="J24" s="848"/>
      <c r="K24" s="739">
        <v>41.8</v>
      </c>
      <c r="L24" s="740"/>
      <c r="M24" s="740"/>
      <c r="N24" s="741"/>
      <c r="O24" s="698">
        <f>O30/(O10*365)*100</f>
        <v>56.06575342465754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414">
        <f>Z7-Z16</f>
        <v>15591</v>
      </c>
      <c r="AA24" s="466">
        <f>AA7-AA16</f>
        <v>43988</v>
      </c>
      <c r="AB24" s="102">
        <f>AB7-AB16</f>
        <v>26272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724">
        <v>56.8524590163</v>
      </c>
      <c r="H25" s="725"/>
      <c r="I25" s="725"/>
      <c r="J25" s="824"/>
      <c r="K25" s="724">
        <v>41.8</v>
      </c>
      <c r="L25" s="725"/>
      <c r="M25" s="725"/>
      <c r="N25" s="726"/>
      <c r="O25" s="626">
        <v>56.1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416">
        <f>Z6-Z15</f>
        <v>15591</v>
      </c>
      <c r="AA25" s="467">
        <f>AA6-AA15</f>
        <v>15316</v>
      </c>
      <c r="AB25" s="108">
        <f>AB6-AB15</f>
        <v>26272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724">
        <v>56.8524590163</v>
      </c>
      <c r="H26" s="725"/>
      <c r="I26" s="725"/>
      <c r="J26" s="824"/>
      <c r="K26" s="724">
        <v>41.8</v>
      </c>
      <c r="L26" s="725"/>
      <c r="M26" s="725"/>
      <c r="N26" s="726"/>
      <c r="O26" s="626">
        <v>56.1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408">
        <v>415341</v>
      </c>
      <c r="AA26" s="460">
        <v>117556</v>
      </c>
      <c r="AB26" s="28">
        <v>195976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724">
        <v>28.6</v>
      </c>
      <c r="H27" s="725"/>
      <c r="I27" s="725"/>
      <c r="J27" s="824"/>
      <c r="K27" s="724">
        <v>23.2</v>
      </c>
      <c r="L27" s="725"/>
      <c r="M27" s="725"/>
      <c r="N27" s="726"/>
      <c r="O27" s="626">
        <v>18.9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410">
        <v>218900</v>
      </c>
      <c r="AA27" s="461">
        <v>0</v>
      </c>
      <c r="AB27" s="36">
        <v>39000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733">
        <v>56.8524590163</v>
      </c>
      <c r="H28" s="734"/>
      <c r="I28" s="734"/>
      <c r="J28" s="828"/>
      <c r="K28" s="733">
        <v>41.8</v>
      </c>
      <c r="L28" s="734"/>
      <c r="M28" s="734"/>
      <c r="N28" s="735"/>
      <c r="O28" s="650">
        <v>56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410">
        <v>108408</v>
      </c>
      <c r="AA28" s="461">
        <v>114931</v>
      </c>
      <c r="AB28" s="36">
        <v>153428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733">
        <v>164.532786885</v>
      </c>
      <c r="H29" s="734"/>
      <c r="I29" s="734"/>
      <c r="J29" s="828"/>
      <c r="K29" s="733">
        <v>165</v>
      </c>
      <c r="L29" s="734"/>
      <c r="M29" s="734"/>
      <c r="N29" s="735"/>
      <c r="O29" s="650">
        <v>174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410">
        <v>494820</v>
      </c>
      <c r="AA29" s="461">
        <v>179773</v>
      </c>
      <c r="AB29" s="36">
        <v>259452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736">
        <v>20808</v>
      </c>
      <c r="H30" s="737"/>
      <c r="I30" s="737"/>
      <c r="J30" s="830"/>
      <c r="K30" s="736">
        <v>15260</v>
      </c>
      <c r="L30" s="737"/>
      <c r="M30" s="737"/>
      <c r="N30" s="738"/>
      <c r="O30" s="658">
        <v>20464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410">
        <v>336919</v>
      </c>
      <c r="AA30" s="461">
        <v>24282</v>
      </c>
      <c r="AB30" s="36">
        <v>96562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736">
        <v>40146</v>
      </c>
      <c r="H31" s="737"/>
      <c r="I31" s="737"/>
      <c r="J31" s="830"/>
      <c r="K31" s="736">
        <v>40619</v>
      </c>
      <c r="L31" s="737"/>
      <c r="M31" s="737"/>
      <c r="N31" s="738"/>
      <c r="O31" s="658">
        <v>42430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410">
        <v>157901</v>
      </c>
      <c r="AA31" s="461">
        <v>155491</v>
      </c>
      <c r="AB31" s="36">
        <v>162890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724">
        <v>192.935409457</v>
      </c>
      <c r="H32" s="725"/>
      <c r="I32" s="725"/>
      <c r="J32" s="824"/>
      <c r="K32" s="724">
        <v>266.2</v>
      </c>
      <c r="L32" s="725"/>
      <c r="M32" s="725"/>
      <c r="N32" s="726"/>
      <c r="O32" s="626">
        <v>207.3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477">
        <f>Z26-Z29</f>
        <v>-79479</v>
      </c>
      <c r="AA32" s="620">
        <f>AA26-AA29</f>
        <v>-62217</v>
      </c>
      <c r="AB32" s="180">
        <f>AB26-AB29</f>
        <v>-63476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736">
        <v>7034.3253012</v>
      </c>
      <c r="H33" s="737"/>
      <c r="I33" s="737"/>
      <c r="J33" s="830"/>
      <c r="K33" s="736">
        <v>6274</v>
      </c>
      <c r="L33" s="737"/>
      <c r="M33" s="737"/>
      <c r="N33" s="738"/>
      <c r="O33" s="658">
        <v>8004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410">
        <v>79479</v>
      </c>
      <c r="AA33" s="461">
        <v>62217</v>
      </c>
      <c r="AB33" s="36">
        <v>63476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724">
        <v>6.31310679611</v>
      </c>
      <c r="H34" s="725"/>
      <c r="I34" s="725"/>
      <c r="J34" s="824"/>
      <c r="K34" s="724">
        <v>5.5</v>
      </c>
      <c r="L34" s="725"/>
      <c r="M34" s="725"/>
      <c r="N34" s="726"/>
      <c r="O34" s="626">
        <v>6.9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418">
        <f>Z32+Z33</f>
        <v>0</v>
      </c>
      <c r="AA34" s="468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724">
        <v>12.1802184466</v>
      </c>
      <c r="H35" s="725"/>
      <c r="I35" s="725"/>
      <c r="J35" s="824"/>
      <c r="K35" s="724">
        <v>14.6</v>
      </c>
      <c r="L35" s="725"/>
      <c r="M35" s="725"/>
      <c r="N35" s="726"/>
      <c r="O35" s="626">
        <v>14.3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419">
        <v>232598</v>
      </c>
      <c r="AA35" s="468">
        <v>307697</v>
      </c>
      <c r="AB35" s="117">
        <v>365537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733">
        <v>177.138652912</v>
      </c>
      <c r="H36" s="734"/>
      <c r="I36" s="734"/>
      <c r="J36" s="828"/>
      <c r="K36" s="733">
        <v>188</v>
      </c>
      <c r="L36" s="734"/>
      <c r="M36" s="734"/>
      <c r="N36" s="735"/>
      <c r="O36" s="650">
        <v>224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408">
        <v>605446</v>
      </c>
      <c r="AA36" s="460">
        <v>663729</v>
      </c>
      <c r="AB36" s="28">
        <v>560374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724">
        <v>157.235229856</v>
      </c>
      <c r="H37" s="725"/>
      <c r="I37" s="725"/>
      <c r="J37" s="824"/>
      <c r="K37" s="724">
        <v>133.6</v>
      </c>
      <c r="L37" s="725"/>
      <c r="M37" s="725"/>
      <c r="N37" s="726"/>
      <c r="O37" s="626">
        <v>133.2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420">
        <v>444861</v>
      </c>
      <c r="AA37" s="469">
        <v>387065</v>
      </c>
      <c r="AB37" s="133">
        <v>465024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733">
        <v>18042.2433679</v>
      </c>
      <c r="H38" s="734"/>
      <c r="I38" s="734"/>
      <c r="J38" s="828"/>
      <c r="K38" s="733">
        <v>19996</v>
      </c>
      <c r="L38" s="734"/>
      <c r="M38" s="734"/>
      <c r="N38" s="735"/>
      <c r="O38" s="650">
        <v>20846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422">
        <v>1568923</v>
      </c>
      <c r="AA38" s="470">
        <v>1239985</v>
      </c>
      <c r="AB38" s="137">
        <v>1315854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733">
        <v>5191.70029392</v>
      </c>
      <c r="H39" s="734"/>
      <c r="I39" s="734"/>
      <c r="J39" s="828"/>
      <c r="K39" s="733">
        <v>5308</v>
      </c>
      <c r="L39" s="734"/>
      <c r="M39" s="734"/>
      <c r="N39" s="735"/>
      <c r="O39" s="650">
        <v>5604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408">
        <v>3745442</v>
      </c>
      <c r="AA39" s="460">
        <v>3650996</v>
      </c>
      <c r="AB39" s="28">
        <v>3569035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733">
        <v>10840</v>
      </c>
      <c r="H40" s="734"/>
      <c r="I40" s="734"/>
      <c r="J40" s="828"/>
      <c r="K40" s="733">
        <v>10826</v>
      </c>
      <c r="L40" s="734"/>
      <c r="M40" s="734"/>
      <c r="N40" s="735"/>
      <c r="O40" s="650">
        <v>11982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410">
        <v>4896735</v>
      </c>
      <c r="AA40" s="461">
        <v>4979996</v>
      </c>
      <c r="AB40" s="36">
        <v>4811365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733">
        <v>873.675230501</v>
      </c>
      <c r="H41" s="734"/>
      <c r="I41" s="734"/>
      <c r="J41" s="828"/>
      <c r="K41" s="733">
        <v>819</v>
      </c>
      <c r="L41" s="734"/>
      <c r="M41" s="734"/>
      <c r="N41" s="735"/>
      <c r="O41" s="650">
        <v>855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410">
        <v>1383456</v>
      </c>
      <c r="AA41" s="461">
        <v>1561163</v>
      </c>
      <c r="AB41" s="36">
        <v>1474493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733">
        <v>18738.0483643</v>
      </c>
      <c r="H42" s="734"/>
      <c r="I42" s="734"/>
      <c r="J42" s="828"/>
      <c r="K42" s="733">
        <v>20376</v>
      </c>
      <c r="L42" s="734"/>
      <c r="M42" s="734"/>
      <c r="N42" s="735"/>
      <c r="O42" s="650">
        <v>18034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424">
        <v>260530</v>
      </c>
      <c r="AA42" s="471">
        <v>323770</v>
      </c>
      <c r="AB42" s="150">
        <v>381919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733">
        <v>10558.1257997</v>
      </c>
      <c r="H43" s="734"/>
      <c r="I43" s="734"/>
      <c r="J43" s="828"/>
      <c r="K43" s="733">
        <v>10850</v>
      </c>
      <c r="L43" s="734"/>
      <c r="M43" s="734"/>
      <c r="N43" s="735"/>
      <c r="O43" s="650">
        <v>9369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410">
        <v>25364</v>
      </c>
      <c r="AA43" s="461">
        <v>168540</v>
      </c>
      <c r="AB43" s="36">
        <v>216862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733">
        <v>555.648521836</v>
      </c>
      <c r="H44" s="734"/>
      <c r="I44" s="734"/>
      <c r="J44" s="828"/>
      <c r="K44" s="733">
        <v>613</v>
      </c>
      <c r="L44" s="734"/>
      <c r="M44" s="734"/>
      <c r="N44" s="735"/>
      <c r="O44" s="650">
        <v>642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426">
        <v>211133</v>
      </c>
      <c r="AA44" s="472">
        <v>129104</v>
      </c>
      <c r="AB44" s="155">
        <v>142284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733">
        <v>255.783049512</v>
      </c>
      <c r="H45" s="734"/>
      <c r="I45" s="734"/>
      <c r="J45" s="828"/>
      <c r="K45" s="733">
        <v>274</v>
      </c>
      <c r="L45" s="734"/>
      <c r="M45" s="734"/>
      <c r="N45" s="735"/>
      <c r="O45" s="650">
        <v>418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410">
        <v>24033</v>
      </c>
      <c r="AA45" s="461">
        <v>26126</v>
      </c>
      <c r="AB45" s="36">
        <v>22773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733">
        <v>145.809304113</v>
      </c>
      <c r="H46" s="734"/>
      <c r="I46" s="734"/>
      <c r="J46" s="828"/>
      <c r="K46" s="733">
        <v>192</v>
      </c>
      <c r="L46" s="734"/>
      <c r="M46" s="734"/>
      <c r="N46" s="735"/>
      <c r="O46" s="650">
        <v>141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424">
        <v>27684</v>
      </c>
      <c r="AA46" s="471">
        <v>24368</v>
      </c>
      <c r="AB46" s="150">
        <v>24497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733">
        <v>17710.1092896</v>
      </c>
      <c r="H47" s="734"/>
      <c r="I47" s="734"/>
      <c r="J47" s="828"/>
      <c r="K47" s="733">
        <v>15869</v>
      </c>
      <c r="L47" s="734"/>
      <c r="M47" s="734"/>
      <c r="N47" s="735"/>
      <c r="O47" s="650">
        <v>20091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422">
        <f>Z39+Z42+Z46</f>
        <v>4033656</v>
      </c>
      <c r="AA47" s="470">
        <f>AA39+AA42+AA46</f>
        <v>3999134</v>
      </c>
      <c r="AB47" s="137">
        <f>AB39+AB42+AB46</f>
        <v>3975451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42">
        <v>30072.6502732</v>
      </c>
      <c r="H48" s="743"/>
      <c r="I48" s="743"/>
      <c r="J48" s="850"/>
      <c r="K48" s="742">
        <v>29410</v>
      </c>
      <c r="L48" s="743"/>
      <c r="M48" s="743"/>
      <c r="N48" s="744"/>
      <c r="O48" s="702">
        <v>30096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408"/>
      <c r="AA48" s="460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7">
        <v>56.345920314</v>
      </c>
      <c r="H49" s="728"/>
      <c r="I49" s="728"/>
      <c r="J49" s="825"/>
      <c r="K49" s="727">
        <v>54.6</v>
      </c>
      <c r="L49" s="728"/>
      <c r="M49" s="728"/>
      <c r="N49" s="729"/>
      <c r="O49" s="637">
        <v>51.9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410">
        <v>27932</v>
      </c>
      <c r="AA49" s="461">
        <v>16073</v>
      </c>
      <c r="AB49" s="36">
        <v>16382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4">
        <v>1.41617760749</v>
      </c>
      <c r="H50" s="725"/>
      <c r="I50" s="725"/>
      <c r="J50" s="824"/>
      <c r="K50" s="724">
        <v>1.4</v>
      </c>
      <c r="L50" s="725"/>
      <c r="M50" s="725"/>
      <c r="N50" s="726"/>
      <c r="O50" s="626">
        <v>1.2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410"/>
      <c r="AA50" s="461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4">
        <v>6.18845537267</v>
      </c>
      <c r="H51" s="725"/>
      <c r="I51" s="725"/>
      <c r="J51" s="824"/>
      <c r="K51" s="724">
        <v>7.3</v>
      </c>
      <c r="L51" s="725"/>
      <c r="M51" s="725"/>
      <c r="N51" s="726"/>
      <c r="O51" s="626">
        <v>7.2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420">
        <v>22578</v>
      </c>
      <c r="AA51" s="469">
        <v>10791</v>
      </c>
      <c r="AB51" s="133">
        <v>12186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4">
        <v>6.26541488531</v>
      </c>
      <c r="H52" s="725"/>
      <c r="I52" s="725"/>
      <c r="J52" s="824"/>
      <c r="K52" s="724">
        <v>6.4</v>
      </c>
      <c r="L52" s="725"/>
      <c r="M52" s="725"/>
      <c r="N52" s="726"/>
      <c r="O52" s="626">
        <v>7.3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428">
        <f>Z48+Z49</f>
        <v>27932</v>
      </c>
      <c r="AA52" s="473">
        <f>AA48+AA49</f>
        <v>16073</v>
      </c>
      <c r="AB52" s="170">
        <f>AB48+AB49</f>
        <v>16382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0">
        <v>29.7840318204</v>
      </c>
      <c r="H53" s="731"/>
      <c r="I53" s="731"/>
      <c r="J53" s="826"/>
      <c r="K53" s="730">
        <v>30.2</v>
      </c>
      <c r="L53" s="731"/>
      <c r="M53" s="731"/>
      <c r="N53" s="732"/>
      <c r="O53" s="641">
        <v>32.3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408">
        <v>4010592</v>
      </c>
      <c r="AA53" s="460">
        <v>3970032</v>
      </c>
      <c r="AB53" s="28">
        <v>3999570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7">
        <v>64.9987009303</v>
      </c>
      <c r="H54" s="728"/>
      <c r="I54" s="728"/>
      <c r="J54" s="825"/>
      <c r="K54" s="727">
        <v>68.9</v>
      </c>
      <c r="L54" s="728"/>
      <c r="M54" s="728"/>
      <c r="N54" s="729"/>
      <c r="O54" s="637">
        <v>71.8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410">
        <v>2626692</v>
      </c>
      <c r="AA54" s="461">
        <v>2741623</v>
      </c>
      <c r="AB54" s="36">
        <v>2895051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4">
        <v>932.729485894</v>
      </c>
      <c r="H55" s="725"/>
      <c r="I55" s="725"/>
      <c r="J55" s="824"/>
      <c r="K55" s="724">
        <v>2014.3</v>
      </c>
      <c r="L55" s="725"/>
      <c r="M55" s="725"/>
      <c r="N55" s="726"/>
      <c r="O55" s="626">
        <v>2331.3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410">
        <v>1383900</v>
      </c>
      <c r="AA55" s="461">
        <v>1228409</v>
      </c>
      <c r="AB55" s="36">
        <v>1104519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4">
        <v>101.365046372</v>
      </c>
      <c r="H56" s="725"/>
      <c r="I56" s="725"/>
      <c r="J56" s="824"/>
      <c r="K56" s="724">
        <v>103</v>
      </c>
      <c r="L56" s="725"/>
      <c r="M56" s="725"/>
      <c r="N56" s="726"/>
      <c r="O56" s="626">
        <v>102.3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410"/>
      <c r="AA56" s="461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4">
        <v>58.8910825241</v>
      </c>
      <c r="H57" s="725"/>
      <c r="I57" s="725"/>
      <c r="J57" s="824"/>
      <c r="K57" s="724">
        <v>53.9</v>
      </c>
      <c r="L57" s="725"/>
      <c r="M57" s="725"/>
      <c r="N57" s="726"/>
      <c r="O57" s="626">
        <v>66.7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477">
        <v>-4868</v>
      </c>
      <c r="AA57" s="461">
        <v>13029</v>
      </c>
      <c r="AB57" s="180">
        <v>-40501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4">
        <v>179.231398201</v>
      </c>
      <c r="H58" s="725"/>
      <c r="I58" s="725"/>
      <c r="J58" s="824"/>
      <c r="K58" s="724">
        <v>197.9</v>
      </c>
      <c r="L58" s="725"/>
      <c r="M58" s="725"/>
      <c r="N58" s="726"/>
      <c r="O58" s="626">
        <v>152.7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410">
        <v>1156842</v>
      </c>
      <c r="AA58" s="461">
        <v>1159423</v>
      </c>
      <c r="AB58" s="36">
        <v>1079621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4"/>
      <c r="H59" s="725"/>
      <c r="I59" s="725"/>
      <c r="J59" s="824"/>
      <c r="K59" s="724"/>
      <c r="L59" s="725"/>
      <c r="M59" s="725"/>
      <c r="N59" s="726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410">
        <v>50</v>
      </c>
      <c r="AA59" s="461">
        <v>50</v>
      </c>
      <c r="AB59" s="36">
        <v>50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4">
        <v>24.3602955923</v>
      </c>
      <c r="H60" s="725"/>
      <c r="I60" s="725"/>
      <c r="J60" s="824"/>
      <c r="K60" s="724">
        <v>26.8</v>
      </c>
      <c r="L60" s="725"/>
      <c r="M60" s="725"/>
      <c r="N60" s="726"/>
      <c r="O60" s="626">
        <v>22.2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483">
        <v>-1161760</v>
      </c>
      <c r="AA60" s="619">
        <v>-1146444</v>
      </c>
      <c r="AB60" s="183">
        <v>-1120172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4">
        <v>2.49541029636</v>
      </c>
      <c r="H61" s="725"/>
      <c r="I61" s="725"/>
      <c r="J61" s="824"/>
      <c r="K61" s="724">
        <v>2.7</v>
      </c>
      <c r="L61" s="725"/>
      <c r="M61" s="725"/>
      <c r="N61" s="726"/>
      <c r="O61" s="626">
        <v>1.9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428">
        <f>Z53+Z57</f>
        <v>4005724</v>
      </c>
      <c r="AA61" s="473">
        <f>AA53+AA57</f>
        <v>3983061</v>
      </c>
      <c r="AB61" s="170">
        <f>AB53+AB57</f>
        <v>3959069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4">
        <v>26.8557058887</v>
      </c>
      <c r="H62" s="725"/>
      <c r="I62" s="725"/>
      <c r="J62" s="824"/>
      <c r="K62" s="724">
        <v>29.6</v>
      </c>
      <c r="L62" s="725"/>
      <c r="M62" s="725"/>
      <c r="N62" s="726"/>
      <c r="O62" s="626">
        <v>24.1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4">
        <v>99.285703266</v>
      </c>
      <c r="H63" s="725"/>
      <c r="I63" s="725"/>
      <c r="J63" s="824"/>
      <c r="K63" s="724">
        <v>104.7</v>
      </c>
      <c r="L63" s="725"/>
      <c r="M63" s="725"/>
      <c r="N63" s="726"/>
      <c r="O63" s="626">
        <v>80.3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0">
        <v>10.5720544901</v>
      </c>
      <c r="H64" s="731"/>
      <c r="I64" s="731"/>
      <c r="J64" s="826"/>
      <c r="K64" s="730">
        <v>11.8</v>
      </c>
      <c r="L64" s="731"/>
      <c r="M64" s="731"/>
      <c r="N64" s="732"/>
      <c r="O64" s="641">
        <v>11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436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 t="s">
        <v>409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24807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21112</v>
      </c>
      <c r="AA6" s="27">
        <f>AA7+AA14</f>
        <v>21873</v>
      </c>
      <c r="AB6" s="28">
        <f>AB7+AB14</f>
        <v>39231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410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21112</v>
      </c>
      <c r="AA7" s="35">
        <f>AA8+AA12</f>
        <v>21873</v>
      </c>
      <c r="AB7" s="36">
        <f>AB8+AB12</f>
        <v>39231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411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3000</v>
      </c>
      <c r="AA8" s="35">
        <v>3000</v>
      </c>
      <c r="AB8" s="36">
        <v>3460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/>
      <c r="AA9" s="35"/>
      <c r="AB9" s="36"/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71</v>
      </c>
      <c r="H10" s="49" t="s">
        <v>181</v>
      </c>
      <c r="I10" s="50">
        <v>45</v>
      </c>
      <c r="J10" s="51" t="s">
        <v>173</v>
      </c>
      <c r="K10" s="52">
        <v>71</v>
      </c>
      <c r="L10" s="53" t="s">
        <v>181</v>
      </c>
      <c r="M10" s="48">
        <v>45</v>
      </c>
      <c r="N10" s="51" t="s">
        <v>173</v>
      </c>
      <c r="O10" s="52">
        <v>71</v>
      </c>
      <c r="P10" s="53" t="s">
        <v>181</v>
      </c>
      <c r="Q10" s="48">
        <v>45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/>
      <c r="AA10" s="35"/>
      <c r="AB10" s="36"/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71</v>
      </c>
      <c r="H11" s="59" t="s">
        <v>181</v>
      </c>
      <c r="I11" s="60">
        <v>45</v>
      </c>
      <c r="J11" s="61" t="s">
        <v>173</v>
      </c>
      <c r="K11" s="62">
        <v>71</v>
      </c>
      <c r="L11" s="63" t="s">
        <v>181</v>
      </c>
      <c r="M11" s="58">
        <v>45</v>
      </c>
      <c r="N11" s="61" t="s">
        <v>173</v>
      </c>
      <c r="O11" s="62">
        <v>71</v>
      </c>
      <c r="P11" s="63" t="s">
        <v>181</v>
      </c>
      <c r="Q11" s="58">
        <v>45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18112</v>
      </c>
      <c r="AA12" s="35">
        <v>18873</v>
      </c>
      <c r="AB12" s="36">
        <v>35771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16235</v>
      </c>
      <c r="AA13" s="35">
        <v>16991</v>
      </c>
      <c r="AB13" s="36">
        <v>33442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65149</v>
      </c>
      <c r="AA15" s="35">
        <f>AA16+AA23</f>
        <v>48339</v>
      </c>
      <c r="AB15" s="36">
        <f>AB16+AB23</f>
        <v>67138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/>
      <c r="H16" s="673"/>
      <c r="I16" s="673"/>
      <c r="J16" s="674"/>
      <c r="K16" s="675"/>
      <c r="L16" s="673"/>
      <c r="M16" s="673"/>
      <c r="N16" s="674"/>
      <c r="O16" s="675"/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65149</v>
      </c>
      <c r="AA16" s="35">
        <f>AA17+AA21</f>
        <v>48319</v>
      </c>
      <c r="AB16" s="36">
        <f>AB17+AB21</f>
        <v>50694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5</v>
      </c>
      <c r="H17" s="677"/>
      <c r="I17" s="677"/>
      <c r="J17" s="678"/>
      <c r="K17" s="679">
        <v>5</v>
      </c>
      <c r="L17" s="677"/>
      <c r="M17" s="677"/>
      <c r="N17" s="678"/>
      <c r="O17" s="679">
        <v>5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28828</v>
      </c>
      <c r="AA17" s="35">
        <v>35780</v>
      </c>
      <c r="AB17" s="36">
        <v>42157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3389</v>
      </c>
      <c r="H18" s="663"/>
      <c r="I18" s="663"/>
      <c r="J18" s="664"/>
      <c r="K18" s="665">
        <v>3389</v>
      </c>
      <c r="L18" s="663"/>
      <c r="M18" s="663"/>
      <c r="N18" s="664"/>
      <c r="O18" s="665">
        <v>3389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/>
      <c r="AA18" s="35"/>
      <c r="AB18" s="36"/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/>
      <c r="AA19" s="35"/>
      <c r="AB19" s="36"/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48</v>
      </c>
      <c r="H20" s="85" t="s">
        <v>181</v>
      </c>
      <c r="I20" s="190">
        <f>G20/G10*100</f>
        <v>67.6056338028169</v>
      </c>
      <c r="J20" s="87" t="s">
        <v>173</v>
      </c>
      <c r="K20" s="88">
        <v>50.9</v>
      </c>
      <c r="L20" s="89" t="s">
        <v>181</v>
      </c>
      <c r="M20" s="190">
        <f>K20/K10*100</f>
        <v>71.69014084507042</v>
      </c>
      <c r="N20" s="87" t="s">
        <v>173</v>
      </c>
      <c r="O20" s="88">
        <v>52.8</v>
      </c>
      <c r="P20" s="89" t="s">
        <v>181</v>
      </c>
      <c r="Q20" s="190">
        <f>O20/O10*100</f>
        <v>74.36619718309859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18726</v>
      </c>
      <c r="AA20" s="35">
        <v>18667</v>
      </c>
      <c r="AB20" s="36">
        <v>27994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4</v>
      </c>
      <c r="H21" s="85" t="s">
        <v>181</v>
      </c>
      <c r="I21" s="91">
        <f>G21/G10*100</f>
        <v>5.633802816901409</v>
      </c>
      <c r="J21" s="87" t="s">
        <v>173</v>
      </c>
      <c r="K21" s="88">
        <v>5</v>
      </c>
      <c r="L21" s="89" t="s">
        <v>181</v>
      </c>
      <c r="M21" s="91">
        <f>K21/K10*100</f>
        <v>7.042253521126761</v>
      </c>
      <c r="N21" s="87" t="s">
        <v>173</v>
      </c>
      <c r="O21" s="88">
        <v>5</v>
      </c>
      <c r="P21" s="89" t="s">
        <v>181</v>
      </c>
      <c r="Q21" s="91">
        <f>O21/O10*100</f>
        <v>7.042253521126761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36321</v>
      </c>
      <c r="AA21" s="35">
        <v>12539</v>
      </c>
      <c r="AB21" s="36">
        <v>8537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29</v>
      </c>
      <c r="H22" s="85" t="s">
        <v>181</v>
      </c>
      <c r="I22" s="91">
        <f>G22/G10*100</f>
        <v>40.845070422535215</v>
      </c>
      <c r="J22" s="87" t="s">
        <v>173</v>
      </c>
      <c r="K22" s="88">
        <v>30.3</v>
      </c>
      <c r="L22" s="89" t="s">
        <v>181</v>
      </c>
      <c r="M22" s="91">
        <f>K22/K10*100</f>
        <v>42.67605633802817</v>
      </c>
      <c r="N22" s="87" t="s">
        <v>173</v>
      </c>
      <c r="O22" s="88">
        <v>37.8</v>
      </c>
      <c r="P22" s="89" t="s">
        <v>181</v>
      </c>
      <c r="Q22" s="91">
        <f>O22/O10*100</f>
        <v>53.239436619718305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10895</v>
      </c>
      <c r="AA22" s="35">
        <v>9306</v>
      </c>
      <c r="AB22" s="36">
        <v>7918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4.8</v>
      </c>
      <c r="H23" s="77" t="s">
        <v>181</v>
      </c>
      <c r="I23" s="96">
        <f>G23/G10*100</f>
        <v>6.760563380281689</v>
      </c>
      <c r="J23" s="97" t="s">
        <v>173</v>
      </c>
      <c r="K23" s="98">
        <v>6.4</v>
      </c>
      <c r="L23" s="99" t="s">
        <v>181</v>
      </c>
      <c r="M23" s="96">
        <f>K23/K10*100</f>
        <v>9.014084507042254</v>
      </c>
      <c r="N23" s="97" t="s">
        <v>173</v>
      </c>
      <c r="O23" s="98">
        <v>0.8</v>
      </c>
      <c r="P23" s="99" t="s">
        <v>181</v>
      </c>
      <c r="Q23" s="96">
        <f>O23/O10*100</f>
        <v>1.1267605633802817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>
        <v>20</v>
      </c>
      <c r="AB23" s="36">
        <v>16444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v>36.4</v>
      </c>
      <c r="H24" s="696"/>
      <c r="I24" s="696"/>
      <c r="J24" s="697"/>
      <c r="K24" s="698">
        <v>38</v>
      </c>
      <c r="L24" s="696"/>
      <c r="M24" s="696"/>
      <c r="N24" s="697"/>
      <c r="O24" s="698">
        <v>39.9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-44037</v>
      </c>
      <c r="AA24" s="179">
        <f>AA7-AA16</f>
        <v>-26446</v>
      </c>
      <c r="AB24" s="180">
        <f>AB7-AB16</f>
        <v>-11463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57.5</v>
      </c>
      <c r="H25" s="624"/>
      <c r="I25" s="624"/>
      <c r="J25" s="625"/>
      <c r="K25" s="626">
        <v>60</v>
      </c>
      <c r="L25" s="624"/>
      <c r="M25" s="624"/>
      <c r="N25" s="625"/>
      <c r="O25" s="626">
        <v>63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-44037</v>
      </c>
      <c r="AA25" s="182">
        <f>AA6-AA15</f>
        <v>-26466</v>
      </c>
      <c r="AB25" s="183">
        <f>AB6-AB15</f>
        <v>-27907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57.5</v>
      </c>
      <c r="H26" s="624"/>
      <c r="I26" s="624"/>
      <c r="J26" s="625"/>
      <c r="K26" s="626">
        <v>60</v>
      </c>
      <c r="L26" s="624"/>
      <c r="M26" s="624"/>
      <c r="N26" s="625"/>
      <c r="O26" s="626">
        <v>63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86921</v>
      </c>
      <c r="AA26" s="27">
        <v>114977</v>
      </c>
      <c r="AB26" s="28">
        <v>50036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18.3</v>
      </c>
      <c r="H27" s="624"/>
      <c r="I27" s="624"/>
      <c r="J27" s="625"/>
      <c r="K27" s="626">
        <v>19.7</v>
      </c>
      <c r="L27" s="624"/>
      <c r="M27" s="624"/>
      <c r="N27" s="625"/>
      <c r="O27" s="626">
        <v>17.9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>
        <v>33100</v>
      </c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26</v>
      </c>
      <c r="H28" s="648"/>
      <c r="I28" s="648"/>
      <c r="J28" s="649"/>
      <c r="K28" s="650">
        <v>26.9</v>
      </c>
      <c r="L28" s="648"/>
      <c r="M28" s="648"/>
      <c r="N28" s="649"/>
      <c r="O28" s="650">
        <v>28.3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86921</v>
      </c>
      <c r="AA28" s="35">
        <v>79252</v>
      </c>
      <c r="AB28" s="36">
        <v>50036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87</v>
      </c>
      <c r="H29" s="648"/>
      <c r="I29" s="648"/>
      <c r="J29" s="649"/>
      <c r="K29" s="650">
        <v>79</v>
      </c>
      <c r="L29" s="648"/>
      <c r="M29" s="648"/>
      <c r="N29" s="649"/>
      <c r="O29" s="650">
        <v>81.6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86438</v>
      </c>
      <c r="AA29" s="35">
        <v>114977</v>
      </c>
      <c r="AB29" s="36">
        <v>50036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9465</v>
      </c>
      <c r="H30" s="656"/>
      <c r="I30" s="656"/>
      <c r="J30" s="657"/>
      <c r="K30" s="658">
        <v>9848</v>
      </c>
      <c r="L30" s="656"/>
      <c r="M30" s="656"/>
      <c r="N30" s="657"/>
      <c r="O30" s="658">
        <v>10351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7937</v>
      </c>
      <c r="AA30" s="35">
        <v>68985</v>
      </c>
      <c r="AB30" s="36">
        <v>2625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23944</v>
      </c>
      <c r="H31" s="656"/>
      <c r="I31" s="656"/>
      <c r="J31" s="657"/>
      <c r="K31" s="658">
        <v>21488</v>
      </c>
      <c r="L31" s="656"/>
      <c r="M31" s="656"/>
      <c r="N31" s="657"/>
      <c r="O31" s="658">
        <v>22194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78501</v>
      </c>
      <c r="AA31" s="35">
        <v>45992</v>
      </c>
      <c r="AB31" s="36">
        <v>47411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253</v>
      </c>
      <c r="H32" s="624"/>
      <c r="I32" s="624"/>
      <c r="J32" s="625"/>
      <c r="K32" s="626">
        <v>218.2</v>
      </c>
      <c r="L32" s="624"/>
      <c r="M32" s="624"/>
      <c r="N32" s="625"/>
      <c r="O32" s="626">
        <v>214.4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00">
        <f>Z26-Z29</f>
        <v>483</v>
      </c>
      <c r="AA32" s="414">
        <f>AA26-AA29</f>
        <v>0</v>
      </c>
      <c r="AB32" s="102">
        <f>AB26-AB29</f>
        <v>0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/>
      <c r="H33" s="656"/>
      <c r="I33" s="656"/>
      <c r="J33" s="657"/>
      <c r="K33" s="658"/>
      <c r="L33" s="656"/>
      <c r="M33" s="656"/>
      <c r="N33" s="657"/>
      <c r="O33" s="658"/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/>
      <c r="AA33" s="35"/>
      <c r="AB33" s="36"/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6.3</v>
      </c>
      <c r="H34" s="624"/>
      <c r="I34" s="624"/>
      <c r="J34" s="625"/>
      <c r="K34" s="626">
        <v>6.3</v>
      </c>
      <c r="L34" s="624"/>
      <c r="M34" s="624"/>
      <c r="N34" s="625"/>
      <c r="O34" s="626">
        <v>6.6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483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15.9</v>
      </c>
      <c r="H35" s="624"/>
      <c r="I35" s="624"/>
      <c r="J35" s="625"/>
      <c r="K35" s="626">
        <v>13.8</v>
      </c>
      <c r="L35" s="624"/>
      <c r="M35" s="624"/>
      <c r="N35" s="625"/>
      <c r="O35" s="626">
        <v>14.2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6900</v>
      </c>
      <c r="AA35" s="123">
        <v>7774</v>
      </c>
      <c r="AB35" s="117">
        <v>10511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/>
      <c r="H36" s="648"/>
      <c r="I36" s="648"/>
      <c r="J36" s="649"/>
      <c r="K36" s="650"/>
      <c r="L36" s="648"/>
      <c r="M36" s="648"/>
      <c r="N36" s="649"/>
      <c r="O36" s="650"/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103156</v>
      </c>
      <c r="AA36" s="27">
        <v>96243</v>
      </c>
      <c r="AB36" s="28">
        <v>83478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/>
      <c r="H37" s="624"/>
      <c r="I37" s="624"/>
      <c r="J37" s="625"/>
      <c r="K37" s="626"/>
      <c r="L37" s="624"/>
      <c r="M37" s="624"/>
      <c r="N37" s="625"/>
      <c r="O37" s="626"/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37890</v>
      </c>
      <c r="AA37" s="132">
        <v>67101</v>
      </c>
      <c r="AB37" s="133">
        <v>35249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/>
      <c r="H38" s="648"/>
      <c r="I38" s="648"/>
      <c r="J38" s="649"/>
      <c r="K38" s="650"/>
      <c r="L38" s="648"/>
      <c r="M38" s="648"/>
      <c r="N38" s="649"/>
      <c r="O38" s="650"/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133064</v>
      </c>
      <c r="AA38" s="136">
        <v>144815</v>
      </c>
      <c r="AB38" s="137">
        <v>89298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/>
      <c r="H39" s="648"/>
      <c r="I39" s="648"/>
      <c r="J39" s="649"/>
      <c r="K39" s="650"/>
      <c r="L39" s="648"/>
      <c r="M39" s="648"/>
      <c r="N39" s="649"/>
      <c r="O39" s="650"/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711747</v>
      </c>
      <c r="AA39" s="27">
        <v>706200</v>
      </c>
      <c r="AB39" s="28">
        <v>678182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146</v>
      </c>
      <c r="H40" s="648"/>
      <c r="I40" s="648"/>
      <c r="J40" s="649"/>
      <c r="K40" s="650">
        <v>155.7</v>
      </c>
      <c r="L40" s="648"/>
      <c r="M40" s="648"/>
      <c r="N40" s="649"/>
      <c r="O40" s="650">
        <v>177.8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1360558</v>
      </c>
      <c r="AA40" s="35">
        <v>1271250</v>
      </c>
      <c r="AB40" s="36">
        <v>1267954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/>
      <c r="H41" s="648"/>
      <c r="I41" s="648"/>
      <c r="J41" s="649"/>
      <c r="K41" s="650"/>
      <c r="L41" s="648"/>
      <c r="M41" s="648"/>
      <c r="N41" s="649"/>
      <c r="O41" s="650"/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718414</v>
      </c>
      <c r="AA41" s="35">
        <v>634653</v>
      </c>
      <c r="AB41" s="36">
        <v>661875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1950</v>
      </c>
      <c r="H42" s="648"/>
      <c r="I42" s="648"/>
      <c r="J42" s="649"/>
      <c r="K42" s="650">
        <v>1542.6</v>
      </c>
      <c r="L42" s="648"/>
      <c r="M42" s="648"/>
      <c r="N42" s="649"/>
      <c r="O42" s="650">
        <v>2062.9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24974</v>
      </c>
      <c r="AA42" s="149">
        <v>8774</v>
      </c>
      <c r="AB42" s="150">
        <v>23078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/>
      <c r="H43" s="648"/>
      <c r="I43" s="648"/>
      <c r="J43" s="649"/>
      <c r="K43" s="650"/>
      <c r="L43" s="648"/>
      <c r="M43" s="648"/>
      <c r="N43" s="649"/>
      <c r="O43" s="650"/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22343</v>
      </c>
      <c r="AA43" s="35">
        <v>6913</v>
      </c>
      <c r="AB43" s="36">
        <v>12663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/>
      <c r="H44" s="648"/>
      <c r="I44" s="648"/>
      <c r="J44" s="649"/>
      <c r="K44" s="650"/>
      <c r="L44" s="648"/>
      <c r="M44" s="648"/>
      <c r="N44" s="649"/>
      <c r="O44" s="650"/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1631</v>
      </c>
      <c r="AA44" s="154">
        <v>861</v>
      </c>
      <c r="AB44" s="155">
        <v>9415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53">
        <v>-1318</v>
      </c>
      <c r="H45" s="653"/>
      <c r="I45" s="653"/>
      <c r="J45" s="655"/>
      <c r="K45" s="652">
        <v>-844.5</v>
      </c>
      <c r="L45" s="653"/>
      <c r="M45" s="653"/>
      <c r="N45" s="655"/>
      <c r="O45" s="652">
        <v>-857.4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/>
      <c r="AA45" s="35"/>
      <c r="AB45" s="36"/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/>
      <c r="AA46" s="149"/>
      <c r="AB46" s="150"/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182</v>
      </c>
      <c r="H47" s="648"/>
      <c r="I47" s="648"/>
      <c r="J47" s="649"/>
      <c r="K47" s="650">
        <v>182.6</v>
      </c>
      <c r="L47" s="648"/>
      <c r="M47" s="648"/>
      <c r="N47" s="649"/>
      <c r="O47" s="650">
        <v>210.6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736721</v>
      </c>
      <c r="AA47" s="136">
        <f>AA39+AA42+AA46</f>
        <v>714974</v>
      </c>
      <c r="AB47" s="137">
        <f>AB39+AB42+AB46</f>
        <v>701260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1750</v>
      </c>
      <c r="H48" s="700"/>
      <c r="I48" s="700"/>
      <c r="J48" s="701"/>
      <c r="K48" s="702">
        <v>2178.3</v>
      </c>
      <c r="L48" s="700"/>
      <c r="M48" s="700"/>
      <c r="N48" s="701"/>
      <c r="O48" s="702">
        <v>2566.6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/>
      <c r="H49" s="635"/>
      <c r="I49" s="635"/>
      <c r="J49" s="636"/>
      <c r="K49" s="637"/>
      <c r="L49" s="635"/>
      <c r="M49" s="635"/>
      <c r="N49" s="636"/>
      <c r="O49" s="637"/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18074</v>
      </c>
      <c r="AA49" s="35">
        <v>1000</v>
      </c>
      <c r="AB49" s="36">
        <v>12567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16.7</v>
      </c>
      <c r="H50" s="624"/>
      <c r="I50" s="624"/>
      <c r="J50" s="625"/>
      <c r="K50" s="626">
        <v>19.3</v>
      </c>
      <c r="L50" s="624"/>
      <c r="M50" s="624"/>
      <c r="N50" s="625"/>
      <c r="O50" s="626">
        <v>15.6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28.7</v>
      </c>
      <c r="H51" s="624"/>
      <c r="I51" s="624"/>
      <c r="J51" s="625"/>
      <c r="K51" s="626">
        <v>38.6</v>
      </c>
      <c r="L51" s="624"/>
      <c r="M51" s="624"/>
      <c r="N51" s="625"/>
      <c r="O51" s="626">
        <v>55.2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17074</v>
      </c>
      <c r="AA51" s="132"/>
      <c r="AB51" s="133">
        <v>11567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/>
      <c r="H52" s="624"/>
      <c r="I52" s="624"/>
      <c r="J52" s="625"/>
      <c r="K52" s="626"/>
      <c r="L52" s="624"/>
      <c r="M52" s="624"/>
      <c r="N52" s="625"/>
      <c r="O52" s="626"/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18074</v>
      </c>
      <c r="AA52" s="169">
        <f>AA48+AA49</f>
        <v>1000</v>
      </c>
      <c r="AB52" s="170">
        <f>AB48+AB49</f>
        <v>12567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54.5</v>
      </c>
      <c r="H53" s="639"/>
      <c r="I53" s="639"/>
      <c r="J53" s="640"/>
      <c r="K53" s="641">
        <v>42.1</v>
      </c>
      <c r="L53" s="639"/>
      <c r="M53" s="639"/>
      <c r="N53" s="640"/>
      <c r="O53" s="641">
        <v>29.2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1592792</v>
      </c>
      <c r="AA53" s="27">
        <v>1659152</v>
      </c>
      <c r="AB53" s="28">
        <v>1661778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57</v>
      </c>
      <c r="H54" s="635"/>
      <c r="I54" s="635"/>
      <c r="J54" s="636"/>
      <c r="K54" s="637">
        <v>59.9</v>
      </c>
      <c r="L54" s="635"/>
      <c r="M54" s="635"/>
      <c r="N54" s="636"/>
      <c r="O54" s="637">
        <v>64.2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1294337</v>
      </c>
      <c r="AA54" s="35">
        <v>1373589</v>
      </c>
      <c r="AB54" s="36">
        <v>1423625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138</v>
      </c>
      <c r="H55" s="624"/>
      <c r="I55" s="624"/>
      <c r="J55" s="625"/>
      <c r="K55" s="626">
        <v>877.4</v>
      </c>
      <c r="L55" s="624"/>
      <c r="M55" s="624"/>
      <c r="N55" s="625"/>
      <c r="O55" s="626">
        <v>183.6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298455</v>
      </c>
      <c r="AA55" s="35">
        <v>285563</v>
      </c>
      <c r="AB55" s="36">
        <v>238153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32.4</v>
      </c>
      <c r="H56" s="624"/>
      <c r="I56" s="624"/>
      <c r="J56" s="625"/>
      <c r="K56" s="626">
        <v>45.3</v>
      </c>
      <c r="L56" s="624"/>
      <c r="M56" s="624"/>
      <c r="N56" s="625"/>
      <c r="O56" s="626">
        <v>77.4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10.4</v>
      </c>
      <c r="H57" s="624"/>
      <c r="I57" s="624"/>
      <c r="J57" s="625"/>
      <c r="K57" s="626">
        <v>8.4</v>
      </c>
      <c r="L57" s="624"/>
      <c r="M57" s="624"/>
      <c r="N57" s="625"/>
      <c r="O57" s="626">
        <v>8.2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-874145</v>
      </c>
      <c r="AA57" s="179">
        <v>-945178</v>
      </c>
      <c r="AB57" s="180">
        <v>-973085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34846.5</v>
      </c>
      <c r="H58" s="624"/>
      <c r="I58" s="624"/>
      <c r="J58" s="625"/>
      <c r="K58" s="626">
        <v>35728.7</v>
      </c>
      <c r="L58" s="624"/>
      <c r="M58" s="624"/>
      <c r="N58" s="625"/>
      <c r="O58" s="626">
        <v>31785.2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171251</v>
      </c>
      <c r="AA58" s="35">
        <v>126684</v>
      </c>
      <c r="AB58" s="36">
        <v>126684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1487.7</v>
      </c>
      <c r="H60" s="624"/>
      <c r="I60" s="624"/>
      <c r="J60" s="625"/>
      <c r="K60" s="626">
        <v>1533.1</v>
      </c>
      <c r="L60" s="624"/>
      <c r="M60" s="624"/>
      <c r="N60" s="625"/>
      <c r="O60" s="626">
        <v>1370.3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-1045396</v>
      </c>
      <c r="AA60" s="182">
        <v>-1071862</v>
      </c>
      <c r="AB60" s="183">
        <v>-1099769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363.2</v>
      </c>
      <c r="H61" s="624"/>
      <c r="I61" s="624"/>
      <c r="J61" s="625"/>
      <c r="K61" s="626">
        <v>310.2</v>
      </c>
      <c r="L61" s="624"/>
      <c r="M61" s="624"/>
      <c r="N61" s="625"/>
      <c r="O61" s="626">
        <v>228.8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718647</v>
      </c>
      <c r="AA61" s="169">
        <f>AA53+AA57</f>
        <v>713974</v>
      </c>
      <c r="AB61" s="170">
        <f>AB53+AB57</f>
        <v>688693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1850.9</v>
      </c>
      <c r="H62" s="624"/>
      <c r="I62" s="624"/>
      <c r="J62" s="625"/>
      <c r="K62" s="626">
        <v>1843.3</v>
      </c>
      <c r="L62" s="624"/>
      <c r="M62" s="624"/>
      <c r="N62" s="625"/>
      <c r="O62" s="626">
        <v>1599.1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/>
      <c r="H63" s="624"/>
      <c r="I63" s="624"/>
      <c r="J63" s="625"/>
      <c r="K63" s="626"/>
      <c r="L63" s="624"/>
      <c r="M63" s="624"/>
      <c r="N63" s="625"/>
      <c r="O63" s="626"/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/>
      <c r="H64" s="639"/>
      <c r="I64" s="639"/>
      <c r="J64" s="640"/>
      <c r="K64" s="641"/>
      <c r="L64" s="639"/>
      <c r="M64" s="639"/>
      <c r="N64" s="640"/>
      <c r="O64" s="641"/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437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20302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474" t="s">
        <v>7</v>
      </c>
      <c r="AB5" s="475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24563</v>
      </c>
      <c r="H6" s="691"/>
      <c r="I6" s="691"/>
      <c r="J6" s="691"/>
      <c r="K6" s="691"/>
      <c r="L6" s="693" t="s">
        <v>10</v>
      </c>
      <c r="M6" s="693"/>
      <c r="N6" s="693"/>
      <c r="O6" s="184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408">
        <f>Z7+Z14</f>
        <v>3225843</v>
      </c>
      <c r="AA6" s="409">
        <f>AA7+AA14</f>
        <v>3283044</v>
      </c>
      <c r="AB6" s="476">
        <v>3257314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412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410">
        <f>Z8+Z12</f>
        <v>3184116</v>
      </c>
      <c r="AA7" s="411">
        <f>AA8+AA12</f>
        <v>3235848</v>
      </c>
      <c r="AB7" s="180">
        <v>3229630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72" t="s">
        <v>413</v>
      </c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4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410">
        <v>2957512</v>
      </c>
      <c r="AA8" s="411">
        <v>3023479</v>
      </c>
      <c r="AB8" s="180">
        <v>3041661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410">
        <v>1884446</v>
      </c>
      <c r="AA9" s="411">
        <v>1882902</v>
      </c>
      <c r="AB9" s="180">
        <v>1906017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373">
        <f>SUM(G11:G15)</f>
        <v>170</v>
      </c>
      <c r="H10" s="370" t="s">
        <v>181</v>
      </c>
      <c r="I10" s="371">
        <f>SUM(I11:I15)</f>
        <v>150</v>
      </c>
      <c r="J10" s="370" t="s">
        <v>173</v>
      </c>
      <c r="K10" s="373">
        <v>170</v>
      </c>
      <c r="L10" s="370" t="s">
        <v>181</v>
      </c>
      <c r="M10" s="371">
        <v>150</v>
      </c>
      <c r="N10" s="370" t="s">
        <v>173</v>
      </c>
      <c r="O10" s="52">
        <v>170</v>
      </c>
      <c r="P10" s="53" t="s">
        <v>181</v>
      </c>
      <c r="Q10" s="48">
        <v>150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410">
        <v>860171</v>
      </c>
      <c r="AA10" s="411">
        <v>930336</v>
      </c>
      <c r="AB10" s="180">
        <v>946104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378">
        <v>170</v>
      </c>
      <c r="H11" s="375" t="s">
        <v>181</v>
      </c>
      <c r="I11" s="376">
        <v>150</v>
      </c>
      <c r="J11" s="375" t="s">
        <v>173</v>
      </c>
      <c r="K11" s="378">
        <v>170</v>
      </c>
      <c r="L11" s="375" t="s">
        <v>181</v>
      </c>
      <c r="M11" s="376">
        <v>150</v>
      </c>
      <c r="N11" s="375" t="s">
        <v>173</v>
      </c>
      <c r="O11" s="62">
        <v>170</v>
      </c>
      <c r="P11" s="63" t="s">
        <v>181</v>
      </c>
      <c r="Q11" s="58">
        <v>150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410">
        <v>135865</v>
      </c>
      <c r="AA11" s="411">
        <v>128746</v>
      </c>
      <c r="AB11" s="180">
        <v>115451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378"/>
      <c r="H12" s="375" t="s">
        <v>181</v>
      </c>
      <c r="I12" s="376"/>
      <c r="J12" s="375" t="s">
        <v>173</v>
      </c>
      <c r="K12" s="378"/>
      <c r="L12" s="375" t="s">
        <v>181</v>
      </c>
      <c r="M12" s="376"/>
      <c r="N12" s="375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410">
        <v>226604</v>
      </c>
      <c r="AA12" s="411">
        <v>212369</v>
      </c>
      <c r="AB12" s="180">
        <v>187969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378"/>
      <c r="H13" s="375" t="s">
        <v>181</v>
      </c>
      <c r="I13" s="376"/>
      <c r="J13" s="375" t="s">
        <v>173</v>
      </c>
      <c r="K13" s="378"/>
      <c r="L13" s="375" t="s">
        <v>181</v>
      </c>
      <c r="M13" s="376"/>
      <c r="N13" s="375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410">
        <v>172899</v>
      </c>
      <c r="AA13" s="411">
        <v>164366</v>
      </c>
      <c r="AB13" s="180">
        <v>144230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378"/>
      <c r="H14" s="375" t="s">
        <v>181</v>
      </c>
      <c r="I14" s="376"/>
      <c r="J14" s="375" t="s">
        <v>173</v>
      </c>
      <c r="K14" s="378"/>
      <c r="L14" s="375" t="s">
        <v>181</v>
      </c>
      <c r="M14" s="376"/>
      <c r="N14" s="375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410">
        <v>41727</v>
      </c>
      <c r="AA14" s="411">
        <v>47196</v>
      </c>
      <c r="AB14" s="180">
        <v>27684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378"/>
      <c r="H15" s="375" t="s">
        <v>181</v>
      </c>
      <c r="I15" s="376" t="s">
        <v>184</v>
      </c>
      <c r="J15" s="375" t="s">
        <v>173</v>
      </c>
      <c r="K15" s="378"/>
      <c r="L15" s="375" t="s">
        <v>181</v>
      </c>
      <c r="M15" s="376" t="s">
        <v>184</v>
      </c>
      <c r="N15" s="375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410">
        <f>Z16+Z23</f>
        <v>3221106</v>
      </c>
      <c r="AA15" s="411">
        <f>AA16+AA23</f>
        <v>3235830</v>
      </c>
      <c r="AB15" s="180">
        <v>3285074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839">
        <v>32</v>
      </c>
      <c r="H16" s="837"/>
      <c r="I16" s="837"/>
      <c r="J16" s="837"/>
      <c r="K16" s="839">
        <v>32</v>
      </c>
      <c r="L16" s="837"/>
      <c r="M16" s="837"/>
      <c r="N16" s="837"/>
      <c r="O16" s="675">
        <v>32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410">
        <f>Z17+Z21</f>
        <v>3219953</v>
      </c>
      <c r="AA16" s="411">
        <f>AA17+AA21</f>
        <v>3235128</v>
      </c>
      <c r="AB16" s="180">
        <v>3277797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843">
        <v>6</v>
      </c>
      <c r="H17" s="841"/>
      <c r="I17" s="841"/>
      <c r="J17" s="841"/>
      <c r="K17" s="843">
        <v>6</v>
      </c>
      <c r="L17" s="841"/>
      <c r="M17" s="841"/>
      <c r="N17" s="841"/>
      <c r="O17" s="679">
        <v>6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410">
        <v>3048356</v>
      </c>
      <c r="AA17" s="411">
        <v>3065483</v>
      </c>
      <c r="AB17" s="180">
        <v>3132600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835">
        <v>11075</v>
      </c>
      <c r="H18" s="833"/>
      <c r="I18" s="833"/>
      <c r="J18" s="833"/>
      <c r="K18" s="835">
        <v>11075</v>
      </c>
      <c r="L18" s="833"/>
      <c r="M18" s="833"/>
      <c r="N18" s="833"/>
      <c r="O18" s="665">
        <v>11075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410">
        <v>1522133</v>
      </c>
      <c r="AA18" s="411">
        <v>1511252</v>
      </c>
      <c r="AB18" s="180">
        <v>1518890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383">
        <v>50</v>
      </c>
      <c r="H19" s="380" t="s">
        <v>181</v>
      </c>
      <c r="I19" s="381">
        <v>80</v>
      </c>
      <c r="J19" s="394" t="s">
        <v>189</v>
      </c>
      <c r="K19" s="383">
        <v>54</v>
      </c>
      <c r="L19" s="380" t="s">
        <v>181</v>
      </c>
      <c r="M19" s="381">
        <v>80</v>
      </c>
      <c r="N19" s="394" t="s">
        <v>189</v>
      </c>
      <c r="O19" s="80">
        <v>55</v>
      </c>
      <c r="P19" s="77" t="s">
        <v>181</v>
      </c>
      <c r="Q19" s="78">
        <v>80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410">
        <v>770514</v>
      </c>
      <c r="AA19" s="411">
        <v>734182</v>
      </c>
      <c r="AB19" s="180">
        <v>766903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378">
        <v>188</v>
      </c>
      <c r="H20" s="385" t="s">
        <v>181</v>
      </c>
      <c r="I20" s="386">
        <f>G20/G10*100</f>
        <v>110.58823529411765</v>
      </c>
      <c r="J20" s="387" t="s">
        <v>173</v>
      </c>
      <c r="K20" s="378">
        <v>186</v>
      </c>
      <c r="L20" s="385" t="s">
        <v>181</v>
      </c>
      <c r="M20" s="386">
        <f>K20/K10*100</f>
        <v>109.41176470588236</v>
      </c>
      <c r="N20" s="387" t="s">
        <v>173</v>
      </c>
      <c r="O20" s="88">
        <v>188</v>
      </c>
      <c r="P20" s="89" t="s">
        <v>181</v>
      </c>
      <c r="Q20" s="386">
        <f>O20/O10*100</f>
        <v>110.58823529411765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410">
        <v>93528</v>
      </c>
      <c r="AA20" s="411">
        <v>104809</v>
      </c>
      <c r="AB20" s="180">
        <v>119130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378">
        <v>13</v>
      </c>
      <c r="H21" s="385" t="s">
        <v>181</v>
      </c>
      <c r="I21" s="391">
        <f>G21/G10*100</f>
        <v>7.647058823529412</v>
      </c>
      <c r="J21" s="387" t="s">
        <v>173</v>
      </c>
      <c r="K21" s="378">
        <v>12</v>
      </c>
      <c r="L21" s="385" t="s">
        <v>181</v>
      </c>
      <c r="M21" s="391">
        <f>K21/K10*100</f>
        <v>7.0588235294117645</v>
      </c>
      <c r="N21" s="387" t="s">
        <v>173</v>
      </c>
      <c r="O21" s="88">
        <v>11</v>
      </c>
      <c r="P21" s="89" t="s">
        <v>181</v>
      </c>
      <c r="Q21" s="91">
        <f>O21/O10*100</f>
        <v>6.470588235294119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410">
        <v>171597</v>
      </c>
      <c r="AA21" s="411">
        <v>169645</v>
      </c>
      <c r="AB21" s="180">
        <v>145197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378">
        <v>113</v>
      </c>
      <c r="H22" s="385" t="s">
        <v>181</v>
      </c>
      <c r="I22" s="391">
        <f>G22/G10*100</f>
        <v>66.47058823529412</v>
      </c>
      <c r="J22" s="387" t="s">
        <v>173</v>
      </c>
      <c r="K22" s="378">
        <v>111</v>
      </c>
      <c r="L22" s="385" t="s">
        <v>181</v>
      </c>
      <c r="M22" s="391">
        <f>K22/K10*100</f>
        <v>65.29411764705883</v>
      </c>
      <c r="N22" s="387" t="s">
        <v>173</v>
      </c>
      <c r="O22" s="88">
        <v>113</v>
      </c>
      <c r="P22" s="89" t="s">
        <v>181</v>
      </c>
      <c r="Q22" s="91">
        <f>O22/O10*100</f>
        <v>66.47058823529412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410">
        <v>23251</v>
      </c>
      <c r="AA22" s="411">
        <v>21286</v>
      </c>
      <c r="AB22" s="180">
        <v>1849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395">
        <v>19</v>
      </c>
      <c r="H23" s="380" t="s">
        <v>181</v>
      </c>
      <c r="I23" s="393">
        <f>G23/G10*100</f>
        <v>11.176470588235295</v>
      </c>
      <c r="J23" s="394" t="s">
        <v>173</v>
      </c>
      <c r="K23" s="395">
        <v>17</v>
      </c>
      <c r="L23" s="380" t="s">
        <v>181</v>
      </c>
      <c r="M23" s="393">
        <f>K23/K10*100</f>
        <v>10</v>
      </c>
      <c r="N23" s="394" t="s">
        <v>173</v>
      </c>
      <c r="O23" s="98">
        <v>18</v>
      </c>
      <c r="P23" s="99" t="s">
        <v>181</v>
      </c>
      <c r="Q23" s="96">
        <f>O23/O10*100</f>
        <v>10.588235294117647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410">
        <v>1153</v>
      </c>
      <c r="AA23" s="411">
        <v>702</v>
      </c>
      <c r="AB23" s="180">
        <v>7277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739">
        <f>G30/(G10*366)*100</f>
        <v>55.361620057859206</v>
      </c>
      <c r="H24" s="740"/>
      <c r="I24" s="740"/>
      <c r="J24" s="740"/>
      <c r="K24" s="739">
        <f>K30/(K10*365)*100</f>
        <v>52.45447219983884</v>
      </c>
      <c r="L24" s="740"/>
      <c r="M24" s="740"/>
      <c r="N24" s="740"/>
      <c r="O24" s="698">
        <f>O30/(O10*365)*100</f>
        <v>47.77437550362611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477">
        <f>Z7-Z16</f>
        <v>-35837</v>
      </c>
      <c r="AA24" s="415">
        <f>AA7-AA16</f>
        <v>720</v>
      </c>
      <c r="AB24" s="180">
        <f>AB7-AB16</f>
        <v>-48167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724">
        <v>66.6</v>
      </c>
      <c r="H25" s="725"/>
      <c r="I25" s="725"/>
      <c r="J25" s="725"/>
      <c r="K25" s="724">
        <v>59.4</v>
      </c>
      <c r="L25" s="725"/>
      <c r="M25" s="725"/>
      <c r="N25" s="725"/>
      <c r="O25" s="626">
        <v>54.1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416">
        <f>Z6-Z15</f>
        <v>4737</v>
      </c>
      <c r="AA25" s="417">
        <f>AA6-AA15</f>
        <v>47214</v>
      </c>
      <c r="AB25" s="183">
        <f>AB6-AB15</f>
        <v>-27760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724">
        <v>66.6</v>
      </c>
      <c r="H26" s="725"/>
      <c r="I26" s="725"/>
      <c r="J26" s="725"/>
      <c r="K26" s="724">
        <v>59.4</v>
      </c>
      <c r="L26" s="725"/>
      <c r="M26" s="725"/>
      <c r="N26" s="725"/>
      <c r="O26" s="626">
        <v>54.1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408">
        <v>172371</v>
      </c>
      <c r="AA26" s="409">
        <v>542444</v>
      </c>
      <c r="AB26" s="476">
        <v>321708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724">
        <v>13</v>
      </c>
      <c r="H27" s="725"/>
      <c r="I27" s="725"/>
      <c r="J27" s="725"/>
      <c r="K27" s="724">
        <v>11.4</v>
      </c>
      <c r="L27" s="725"/>
      <c r="M27" s="725"/>
      <c r="N27" s="725"/>
      <c r="O27" s="626">
        <v>10.2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410">
        <v>58800</v>
      </c>
      <c r="AA27" s="411">
        <v>466600</v>
      </c>
      <c r="AB27" s="180">
        <v>229000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733">
        <v>94.1</v>
      </c>
      <c r="H28" s="734"/>
      <c r="I28" s="734"/>
      <c r="J28" s="734"/>
      <c r="K28" s="733">
        <v>89.2</v>
      </c>
      <c r="L28" s="734"/>
      <c r="M28" s="734"/>
      <c r="N28" s="734"/>
      <c r="O28" s="650">
        <v>81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410">
        <v>59736</v>
      </c>
      <c r="AA28" s="411">
        <v>67888</v>
      </c>
      <c r="AB28" s="180">
        <v>59319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733">
        <v>420.7</v>
      </c>
      <c r="H29" s="734"/>
      <c r="I29" s="734"/>
      <c r="J29" s="734"/>
      <c r="K29" s="733">
        <v>460.5</v>
      </c>
      <c r="L29" s="734"/>
      <c r="M29" s="734"/>
      <c r="N29" s="734"/>
      <c r="O29" s="650">
        <v>442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410">
        <v>213820</v>
      </c>
      <c r="AA29" s="411">
        <v>595449</v>
      </c>
      <c r="AB29" s="180">
        <v>375579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736">
        <v>34446</v>
      </c>
      <c r="H30" s="737"/>
      <c r="I30" s="737"/>
      <c r="J30" s="737"/>
      <c r="K30" s="736">
        <v>32548</v>
      </c>
      <c r="L30" s="737"/>
      <c r="M30" s="737"/>
      <c r="N30" s="737"/>
      <c r="O30" s="658">
        <v>29644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410">
        <v>117785</v>
      </c>
      <c r="AA30" s="411">
        <v>160375</v>
      </c>
      <c r="AB30" s="180">
        <v>269856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736">
        <v>102656</v>
      </c>
      <c r="H31" s="737"/>
      <c r="I31" s="737"/>
      <c r="J31" s="737"/>
      <c r="K31" s="736">
        <v>112833</v>
      </c>
      <c r="L31" s="737"/>
      <c r="M31" s="737"/>
      <c r="N31" s="737"/>
      <c r="O31" s="658">
        <v>107739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410">
        <v>96035</v>
      </c>
      <c r="AA31" s="411">
        <v>435074</v>
      </c>
      <c r="AB31" s="180">
        <v>105723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724">
        <v>298</v>
      </c>
      <c r="H32" s="725"/>
      <c r="I32" s="725"/>
      <c r="J32" s="725"/>
      <c r="K32" s="724">
        <v>346.7</v>
      </c>
      <c r="L32" s="725"/>
      <c r="M32" s="725"/>
      <c r="N32" s="725"/>
      <c r="O32" s="626">
        <v>363.4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477">
        <f>Z26-Z29</f>
        <v>-41449</v>
      </c>
      <c r="AA32" s="478">
        <f>AA26-AA29</f>
        <v>-53005</v>
      </c>
      <c r="AB32" s="180">
        <f>AB26-AB29</f>
        <v>-53871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736">
        <v>14599</v>
      </c>
      <c r="H33" s="737"/>
      <c r="I33" s="737"/>
      <c r="J33" s="737"/>
      <c r="K33" s="736">
        <v>15124.9</v>
      </c>
      <c r="L33" s="737"/>
      <c r="M33" s="737"/>
      <c r="N33" s="737"/>
      <c r="O33" s="658">
        <v>15171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410">
        <v>41449</v>
      </c>
      <c r="AA33" s="411">
        <v>53005</v>
      </c>
      <c r="AB33" s="180">
        <v>53871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724">
        <v>5.02</v>
      </c>
      <c r="H34" s="725"/>
      <c r="I34" s="725"/>
      <c r="J34" s="725"/>
      <c r="K34" s="724">
        <v>5</v>
      </c>
      <c r="L34" s="725"/>
      <c r="M34" s="725"/>
      <c r="N34" s="725"/>
      <c r="O34" s="626">
        <v>4.8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419">
        <f>Z32+Z33</f>
        <v>0</v>
      </c>
      <c r="AA34" s="418">
        <f>AA32+AA33</f>
        <v>0</v>
      </c>
      <c r="AB34" s="479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724">
        <v>14.98</v>
      </c>
      <c r="H35" s="725"/>
      <c r="I35" s="725"/>
      <c r="J35" s="725"/>
      <c r="K35" s="724">
        <v>17.3</v>
      </c>
      <c r="L35" s="725"/>
      <c r="M35" s="725"/>
      <c r="N35" s="725"/>
      <c r="O35" s="626">
        <v>17.4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419">
        <v>963763</v>
      </c>
      <c r="AA35" s="418">
        <v>1064715</v>
      </c>
      <c r="AB35" s="479">
        <v>1086529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733">
        <v>400.7</v>
      </c>
      <c r="H36" s="734"/>
      <c r="I36" s="734"/>
      <c r="J36" s="734"/>
      <c r="K36" s="733">
        <v>430.6</v>
      </c>
      <c r="L36" s="734"/>
      <c r="M36" s="734"/>
      <c r="N36" s="734"/>
      <c r="O36" s="650">
        <v>462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408">
        <v>368500</v>
      </c>
      <c r="AA36" s="409">
        <v>361000</v>
      </c>
      <c r="AB36" s="476">
        <v>319000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724">
        <v>126.84</v>
      </c>
      <c r="H37" s="725"/>
      <c r="I37" s="725"/>
      <c r="J37" s="725"/>
      <c r="K37" s="724">
        <v>100</v>
      </c>
      <c r="L37" s="725"/>
      <c r="M37" s="725"/>
      <c r="N37" s="725"/>
      <c r="O37" s="626">
        <v>104.8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420">
        <v>368234</v>
      </c>
      <c r="AA37" s="421">
        <v>360760</v>
      </c>
      <c r="AB37" s="183">
        <v>318323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733">
        <v>54707.2</v>
      </c>
      <c r="H38" s="734"/>
      <c r="I38" s="734"/>
      <c r="J38" s="734"/>
      <c r="K38" s="733">
        <v>57850</v>
      </c>
      <c r="L38" s="734"/>
      <c r="M38" s="734"/>
      <c r="N38" s="734"/>
      <c r="O38" s="650">
        <v>64297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422">
        <v>3345829</v>
      </c>
      <c r="AA38" s="423">
        <v>3730487</v>
      </c>
      <c r="AB38" s="480">
        <v>3545047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733">
        <v>8379.1</v>
      </c>
      <c r="H39" s="734"/>
      <c r="I39" s="734"/>
      <c r="J39" s="734"/>
      <c r="K39" s="733">
        <v>8245.2</v>
      </c>
      <c r="L39" s="734"/>
      <c r="M39" s="734"/>
      <c r="N39" s="734"/>
      <c r="O39" s="650">
        <v>8781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408">
        <v>2432311</v>
      </c>
      <c r="AA39" s="409">
        <v>2449642</v>
      </c>
      <c r="AB39" s="476">
        <v>2601406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733">
        <v>21277</v>
      </c>
      <c r="H40" s="734"/>
      <c r="I40" s="734"/>
      <c r="J40" s="734"/>
      <c r="K40" s="733">
        <v>20566.2</v>
      </c>
      <c r="L40" s="734"/>
      <c r="M40" s="734"/>
      <c r="N40" s="734"/>
      <c r="O40" s="650">
        <v>21820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410">
        <v>4668085</v>
      </c>
      <c r="AA40" s="411">
        <v>4687730</v>
      </c>
      <c r="AB40" s="180">
        <v>4946580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733">
        <v>2174</v>
      </c>
      <c r="H41" s="734"/>
      <c r="I41" s="734"/>
      <c r="J41" s="734"/>
      <c r="K41" s="733">
        <v>1418.5</v>
      </c>
      <c r="L41" s="734"/>
      <c r="M41" s="734"/>
      <c r="N41" s="734"/>
      <c r="O41" s="650">
        <v>1386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410">
        <v>2497630</v>
      </c>
      <c r="AA41" s="411">
        <v>2499944</v>
      </c>
      <c r="AB41" s="180">
        <v>2607030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733">
        <v>23494</v>
      </c>
      <c r="H42" s="734"/>
      <c r="I42" s="734"/>
      <c r="J42" s="734"/>
      <c r="K42" s="733">
        <v>22257.6</v>
      </c>
      <c r="L42" s="734"/>
      <c r="M42" s="734"/>
      <c r="N42" s="734"/>
      <c r="O42" s="650">
        <v>23912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424">
        <v>1215190</v>
      </c>
      <c r="AA42" s="425">
        <v>1306978</v>
      </c>
      <c r="AB42" s="481">
        <v>1386364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733">
        <v>11102</v>
      </c>
      <c r="H43" s="734"/>
      <c r="I43" s="734"/>
      <c r="J43" s="734"/>
      <c r="K43" s="733">
        <v>10395.1</v>
      </c>
      <c r="L43" s="734"/>
      <c r="M43" s="734"/>
      <c r="N43" s="734"/>
      <c r="O43" s="650">
        <v>11056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410">
        <v>730645</v>
      </c>
      <c r="AA43" s="411">
        <v>818525</v>
      </c>
      <c r="AB43" s="180">
        <v>870045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733">
        <v>1714</v>
      </c>
      <c r="H44" s="734"/>
      <c r="I44" s="734"/>
      <c r="J44" s="734"/>
      <c r="K44" s="733">
        <v>1418.5</v>
      </c>
      <c r="L44" s="734"/>
      <c r="M44" s="734"/>
      <c r="N44" s="734"/>
      <c r="O44" s="650">
        <v>1323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426">
        <v>465576</v>
      </c>
      <c r="AA44" s="427">
        <v>468339</v>
      </c>
      <c r="AB44" s="482">
        <v>494864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733">
        <v>35</v>
      </c>
      <c r="H45" s="734"/>
      <c r="I45" s="734"/>
      <c r="J45" s="734"/>
      <c r="K45" s="733">
        <v>324.8</v>
      </c>
      <c r="L45" s="734"/>
      <c r="M45" s="734"/>
      <c r="N45" s="734"/>
      <c r="O45" s="652">
        <v>-202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410">
        <v>18969</v>
      </c>
      <c r="AA45" s="411">
        <v>20114</v>
      </c>
      <c r="AB45" s="180">
        <v>21455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733">
        <v>501</v>
      </c>
      <c r="H46" s="734"/>
      <c r="I46" s="734"/>
      <c r="J46" s="734"/>
      <c r="K46" s="733">
        <v>512.4</v>
      </c>
      <c r="L46" s="734"/>
      <c r="M46" s="734"/>
      <c r="N46" s="734"/>
      <c r="O46" s="650">
        <v>510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424">
        <v>39678</v>
      </c>
      <c r="AA46" s="425">
        <v>43769</v>
      </c>
      <c r="AB46" s="481">
        <v>52408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733">
        <v>57216</v>
      </c>
      <c r="H47" s="734"/>
      <c r="I47" s="734"/>
      <c r="J47" s="734"/>
      <c r="K47" s="733">
        <v>55223.4</v>
      </c>
      <c r="L47" s="734"/>
      <c r="M47" s="734"/>
      <c r="N47" s="734"/>
      <c r="O47" s="650">
        <v>55555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422">
        <f>Z39+Z42+Z46</f>
        <v>3687179</v>
      </c>
      <c r="AA47" s="423">
        <f>AA39+AA42+AA46</f>
        <v>3800389</v>
      </c>
      <c r="AB47" s="480">
        <f>AB39+AB42+AB46</f>
        <v>4040178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42">
        <v>58974</v>
      </c>
      <c r="H48" s="743"/>
      <c r="I48" s="743"/>
      <c r="J48" s="743"/>
      <c r="K48" s="742">
        <v>55990.6</v>
      </c>
      <c r="L48" s="743"/>
      <c r="M48" s="743"/>
      <c r="N48" s="743"/>
      <c r="O48" s="702">
        <v>57216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408">
        <v>0</v>
      </c>
      <c r="AA48" s="409"/>
      <c r="AB48" s="476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7">
        <v>47.27</v>
      </c>
      <c r="H49" s="728"/>
      <c r="I49" s="728"/>
      <c r="J49" s="728"/>
      <c r="K49" s="727">
        <v>46.7</v>
      </c>
      <c r="L49" s="728"/>
      <c r="M49" s="728"/>
      <c r="N49" s="728"/>
      <c r="O49" s="637">
        <v>46.3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410">
        <v>251427</v>
      </c>
      <c r="AA49" s="411">
        <v>242263</v>
      </c>
      <c r="AB49" s="180">
        <v>299835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4">
        <v>0.72</v>
      </c>
      <c r="H50" s="725"/>
      <c r="I50" s="725"/>
      <c r="J50" s="725"/>
      <c r="K50" s="724">
        <v>0.7</v>
      </c>
      <c r="L50" s="725"/>
      <c r="M50" s="725"/>
      <c r="N50" s="725"/>
      <c r="O50" s="626">
        <v>0.1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410"/>
      <c r="AA50" s="411"/>
      <c r="AB50" s="180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4">
        <v>2.9</v>
      </c>
      <c r="H51" s="725"/>
      <c r="I51" s="725"/>
      <c r="J51" s="725"/>
      <c r="K51" s="724">
        <v>3.2</v>
      </c>
      <c r="L51" s="725"/>
      <c r="M51" s="725"/>
      <c r="N51" s="725"/>
      <c r="O51" s="626">
        <v>3.6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420">
        <v>251427</v>
      </c>
      <c r="AA51" s="421">
        <v>242263</v>
      </c>
      <c r="AB51" s="183">
        <v>299835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4">
        <v>23.39</v>
      </c>
      <c r="H52" s="725"/>
      <c r="I52" s="725"/>
      <c r="J52" s="725"/>
      <c r="K52" s="724">
        <v>22.7</v>
      </c>
      <c r="L52" s="725"/>
      <c r="M52" s="725"/>
      <c r="N52" s="725"/>
      <c r="O52" s="626">
        <v>23.4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428">
        <f>Z48+Z49</f>
        <v>251427</v>
      </c>
      <c r="AA52" s="429">
        <f>AA48+AA49</f>
        <v>242263</v>
      </c>
      <c r="AB52" s="479">
        <f>AB48+AB49</f>
        <v>299835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0">
        <v>25.7</v>
      </c>
      <c r="H53" s="731"/>
      <c r="I53" s="731"/>
      <c r="J53" s="731"/>
      <c r="K53" s="730">
        <v>27.2</v>
      </c>
      <c r="L53" s="731"/>
      <c r="M53" s="731"/>
      <c r="N53" s="731"/>
      <c r="O53" s="641">
        <v>26.6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408">
        <v>3483582</v>
      </c>
      <c r="AA53" s="409">
        <v>3582997</v>
      </c>
      <c r="AB53" s="476">
        <v>3765592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7">
        <v>76.3</v>
      </c>
      <c r="H54" s="728"/>
      <c r="I54" s="728"/>
      <c r="J54" s="728"/>
      <c r="K54" s="727">
        <v>76.4</v>
      </c>
      <c r="L54" s="728"/>
      <c r="M54" s="728"/>
      <c r="N54" s="728"/>
      <c r="O54" s="637">
        <v>73.3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410">
        <v>2861359</v>
      </c>
      <c r="AA54" s="411">
        <v>2929247</v>
      </c>
      <c r="AB54" s="180">
        <v>2988566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4">
        <v>483.3</v>
      </c>
      <c r="H55" s="725"/>
      <c r="I55" s="725"/>
      <c r="J55" s="725"/>
      <c r="K55" s="724">
        <v>539.5</v>
      </c>
      <c r="L55" s="725"/>
      <c r="M55" s="725"/>
      <c r="N55" s="725"/>
      <c r="O55" s="626">
        <v>462.4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410">
        <v>622223</v>
      </c>
      <c r="AA55" s="411">
        <v>653750</v>
      </c>
      <c r="AB55" s="180">
        <v>777026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4">
        <v>98.9</v>
      </c>
      <c r="H56" s="725"/>
      <c r="I56" s="725"/>
      <c r="J56" s="725"/>
      <c r="K56" s="724">
        <v>100</v>
      </c>
      <c r="L56" s="725"/>
      <c r="M56" s="725"/>
      <c r="N56" s="725"/>
      <c r="O56" s="626">
        <v>98.5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410"/>
      <c r="AA56" s="411"/>
      <c r="AB56" s="180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4">
        <v>97</v>
      </c>
      <c r="H57" s="725"/>
      <c r="I57" s="725"/>
      <c r="J57" s="725"/>
      <c r="K57" s="724">
        <v>98.6</v>
      </c>
      <c r="L57" s="725"/>
      <c r="M57" s="725"/>
      <c r="N57" s="725"/>
      <c r="O57" s="626">
        <v>97.1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477">
        <v>-47830</v>
      </c>
      <c r="AA57" s="478">
        <v>-24871</v>
      </c>
      <c r="AB57" s="180">
        <v>-25249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4">
        <v>24.7</v>
      </c>
      <c r="H58" s="725"/>
      <c r="I58" s="725"/>
      <c r="J58" s="725"/>
      <c r="K58" s="724">
        <v>22.6</v>
      </c>
      <c r="L58" s="725"/>
      <c r="M58" s="725"/>
      <c r="N58" s="725"/>
      <c r="O58" s="626">
        <v>23.4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410">
        <v>675379</v>
      </c>
      <c r="AA58" s="411">
        <v>651125</v>
      </c>
      <c r="AB58" s="180">
        <v>678507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4"/>
      <c r="H59" s="725"/>
      <c r="I59" s="725"/>
      <c r="J59" s="725"/>
      <c r="K59" s="724">
        <v>0</v>
      </c>
      <c r="L59" s="725"/>
      <c r="M59" s="725"/>
      <c r="N59" s="7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410">
        <v>7431</v>
      </c>
      <c r="AA59" s="411">
        <v>7431</v>
      </c>
      <c r="AB59" s="180">
        <v>7431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4">
        <v>3.24</v>
      </c>
      <c r="H60" s="725"/>
      <c r="I60" s="725"/>
      <c r="J60" s="725"/>
      <c r="K60" s="724">
        <v>3.6</v>
      </c>
      <c r="L60" s="725"/>
      <c r="M60" s="725"/>
      <c r="N60" s="725"/>
      <c r="O60" s="626">
        <v>3.5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483">
        <v>-730640</v>
      </c>
      <c r="AA60" s="484">
        <v>-683427</v>
      </c>
      <c r="AB60" s="183">
        <v>-711187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4">
        <v>0.78</v>
      </c>
      <c r="H61" s="725"/>
      <c r="I61" s="725"/>
      <c r="J61" s="725"/>
      <c r="K61" s="724">
        <v>0.7</v>
      </c>
      <c r="L61" s="725"/>
      <c r="M61" s="725"/>
      <c r="N61" s="725"/>
      <c r="O61" s="626">
        <v>0.1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428">
        <f>Z53+Z57</f>
        <v>3435752</v>
      </c>
      <c r="AA61" s="429">
        <f>AA53+AA57</f>
        <v>3558126</v>
      </c>
      <c r="AB61" s="479">
        <f>AB53+AB57</f>
        <v>3740343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4">
        <v>4.03</v>
      </c>
      <c r="H62" s="725"/>
      <c r="I62" s="725"/>
      <c r="J62" s="725"/>
      <c r="K62" s="724">
        <v>4.3</v>
      </c>
      <c r="L62" s="725"/>
      <c r="M62" s="725"/>
      <c r="N62" s="725"/>
      <c r="O62" s="626">
        <v>3.5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4">
        <v>51.46</v>
      </c>
      <c r="H63" s="725"/>
      <c r="I63" s="725"/>
      <c r="J63" s="725"/>
      <c r="K63" s="724">
        <v>50</v>
      </c>
      <c r="L63" s="725"/>
      <c r="M63" s="725"/>
      <c r="N63" s="725"/>
      <c r="O63" s="626">
        <v>49.9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0">
        <v>25.46</v>
      </c>
      <c r="H64" s="731"/>
      <c r="I64" s="731"/>
      <c r="J64" s="731"/>
      <c r="K64" s="730">
        <v>23.7</v>
      </c>
      <c r="L64" s="731"/>
      <c r="M64" s="731"/>
      <c r="N64" s="731"/>
      <c r="O64" s="641">
        <v>24.7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1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30946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30956</v>
      </c>
      <c r="H6" s="691"/>
      <c r="I6" s="691"/>
      <c r="J6" s="691"/>
      <c r="K6" s="691"/>
      <c r="L6" s="693" t="s">
        <v>10</v>
      </c>
      <c r="M6" s="693"/>
      <c r="N6" s="693"/>
      <c r="O6" s="17">
        <v>7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7377177</v>
      </c>
      <c r="AA6" s="27">
        <f>AA7+AA14</f>
        <v>7823430</v>
      </c>
      <c r="AB6" s="28">
        <f>AB7+AB14</f>
        <v>7716090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175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7376839</v>
      </c>
      <c r="AA7" s="35">
        <f>AA8+AA12</f>
        <v>7821303</v>
      </c>
      <c r="AB7" s="36">
        <f>AB8+AB12</f>
        <v>7707186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682" t="s">
        <v>178</v>
      </c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4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6552523</v>
      </c>
      <c r="AA8" s="35">
        <v>6895795</v>
      </c>
      <c r="AB8" s="36">
        <v>6911919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4303512</v>
      </c>
      <c r="AA9" s="35">
        <v>4720560</v>
      </c>
      <c r="AB9" s="36">
        <v>4752979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301</v>
      </c>
      <c r="H10" s="49" t="s">
        <v>181</v>
      </c>
      <c r="I10" s="50">
        <f>SUM(I11:I15)</f>
        <v>301</v>
      </c>
      <c r="J10" s="51" t="s">
        <v>173</v>
      </c>
      <c r="K10" s="52">
        <f>SUM(K11:K15)</f>
        <v>301</v>
      </c>
      <c r="L10" s="53" t="s">
        <v>181</v>
      </c>
      <c r="M10" s="48">
        <f>SUM(M11:M15)</f>
        <v>301</v>
      </c>
      <c r="N10" s="51" t="s">
        <v>173</v>
      </c>
      <c r="O10" s="52">
        <f>SUM(O11:O15)</f>
        <v>301</v>
      </c>
      <c r="P10" s="53" t="s">
        <v>181</v>
      </c>
      <c r="Q10" s="48">
        <f>SUM(Q11:Q15)</f>
        <v>301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1443342</v>
      </c>
      <c r="AA10" s="35">
        <v>1437564</v>
      </c>
      <c r="AB10" s="36">
        <v>1512133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301</v>
      </c>
      <c r="H11" s="59" t="s">
        <v>181</v>
      </c>
      <c r="I11" s="60">
        <v>301</v>
      </c>
      <c r="J11" s="61" t="s">
        <v>173</v>
      </c>
      <c r="K11" s="62">
        <v>301</v>
      </c>
      <c r="L11" s="63" t="s">
        <v>181</v>
      </c>
      <c r="M11" s="58">
        <v>301</v>
      </c>
      <c r="N11" s="61" t="s">
        <v>173</v>
      </c>
      <c r="O11" s="62">
        <v>301</v>
      </c>
      <c r="P11" s="63" t="s">
        <v>181</v>
      </c>
      <c r="Q11" s="58">
        <v>301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688926</v>
      </c>
      <c r="AA11" s="35">
        <v>604062</v>
      </c>
      <c r="AB11" s="36">
        <v>510948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824316</v>
      </c>
      <c r="AA12" s="35">
        <v>925508</v>
      </c>
      <c r="AB12" s="36">
        <v>795267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750158</v>
      </c>
      <c r="AA13" s="35">
        <v>824283</v>
      </c>
      <c r="AB13" s="36">
        <v>700988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338</v>
      </c>
      <c r="AA14" s="35">
        <v>2127</v>
      </c>
      <c r="AB14" s="36">
        <v>8904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7463934</v>
      </c>
      <c r="AA15" s="35">
        <f>AA16+AA23</f>
        <v>7713189</v>
      </c>
      <c r="AB15" s="36">
        <f>AB16+AB23</f>
        <v>8038237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26</v>
      </c>
      <c r="H16" s="673"/>
      <c r="I16" s="673"/>
      <c r="J16" s="674"/>
      <c r="K16" s="675">
        <v>26</v>
      </c>
      <c r="L16" s="673"/>
      <c r="M16" s="673"/>
      <c r="N16" s="674"/>
      <c r="O16" s="675">
        <v>26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7432661</v>
      </c>
      <c r="AA16" s="35">
        <f>AA17+AA21</f>
        <v>7660020</v>
      </c>
      <c r="AB16" s="36">
        <f>AB17+AB21</f>
        <v>8004051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4</v>
      </c>
      <c r="H17" s="677"/>
      <c r="I17" s="677"/>
      <c r="J17" s="678"/>
      <c r="K17" s="679">
        <v>4</v>
      </c>
      <c r="L17" s="677"/>
      <c r="M17" s="677"/>
      <c r="N17" s="678"/>
      <c r="O17" s="679">
        <v>4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7200922</v>
      </c>
      <c r="AA17" s="35">
        <v>7429910</v>
      </c>
      <c r="AB17" s="36">
        <v>7739882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18186</v>
      </c>
      <c r="H18" s="663"/>
      <c r="I18" s="663"/>
      <c r="J18" s="664"/>
      <c r="K18" s="665">
        <v>18186</v>
      </c>
      <c r="L18" s="663"/>
      <c r="M18" s="663"/>
      <c r="N18" s="664"/>
      <c r="O18" s="665">
        <v>18186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3751496</v>
      </c>
      <c r="AA18" s="35">
        <v>3775963</v>
      </c>
      <c r="AB18" s="36">
        <v>3901527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1342486</v>
      </c>
      <c r="AA19" s="35">
        <v>1419101</v>
      </c>
      <c r="AB19" s="36">
        <v>1497934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398</v>
      </c>
      <c r="H20" s="85" t="s">
        <v>181</v>
      </c>
      <c r="I20" s="86">
        <f>G20/G10*100</f>
        <v>132.22591362126246</v>
      </c>
      <c r="J20" s="87" t="s">
        <v>173</v>
      </c>
      <c r="K20" s="88">
        <v>411</v>
      </c>
      <c r="L20" s="89" t="s">
        <v>181</v>
      </c>
      <c r="M20" s="86">
        <f>K20/K10*100</f>
        <v>136.54485049833886</v>
      </c>
      <c r="N20" s="87" t="s">
        <v>173</v>
      </c>
      <c r="O20" s="88">
        <v>450</v>
      </c>
      <c r="P20" s="89" t="s">
        <v>181</v>
      </c>
      <c r="Q20" s="86">
        <f>O20/O10*100</f>
        <v>149.5016611295681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405121</v>
      </c>
      <c r="AA20" s="35">
        <v>402861</v>
      </c>
      <c r="AB20" s="36">
        <v>388949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52</v>
      </c>
      <c r="H21" s="85" t="s">
        <v>181</v>
      </c>
      <c r="I21" s="91">
        <f>G21/G10*100</f>
        <v>17.275747508305646</v>
      </c>
      <c r="J21" s="87" t="s">
        <v>173</v>
      </c>
      <c r="K21" s="88">
        <v>56</v>
      </c>
      <c r="L21" s="89" t="s">
        <v>181</v>
      </c>
      <c r="M21" s="91">
        <f>K21/K10*100</f>
        <v>18.6046511627907</v>
      </c>
      <c r="N21" s="87" t="s">
        <v>173</v>
      </c>
      <c r="O21" s="88">
        <v>60</v>
      </c>
      <c r="P21" s="89" t="s">
        <v>181</v>
      </c>
      <c r="Q21" s="91">
        <f>O21/O10*100</f>
        <v>19.93355481727575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231739</v>
      </c>
      <c r="AA21" s="35">
        <v>230110</v>
      </c>
      <c r="AB21" s="36">
        <v>264169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270</v>
      </c>
      <c r="H22" s="85" t="s">
        <v>181</v>
      </c>
      <c r="I22" s="91">
        <f>G22/G10*100</f>
        <v>89.70099667774086</v>
      </c>
      <c r="J22" s="87" t="s">
        <v>173</v>
      </c>
      <c r="K22" s="88">
        <v>275</v>
      </c>
      <c r="L22" s="89" t="s">
        <v>181</v>
      </c>
      <c r="M22" s="91">
        <f>K22/K10*100</f>
        <v>91.36212624584718</v>
      </c>
      <c r="N22" s="87" t="s">
        <v>173</v>
      </c>
      <c r="O22" s="88">
        <v>299</v>
      </c>
      <c r="P22" s="89" t="s">
        <v>181</v>
      </c>
      <c r="Q22" s="91">
        <f>O22/O10*100</f>
        <v>99.33554817275747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27958</v>
      </c>
      <c r="AA22" s="35">
        <v>23113</v>
      </c>
      <c r="AB22" s="36">
        <v>17894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27</v>
      </c>
      <c r="H23" s="77" t="s">
        <v>181</v>
      </c>
      <c r="I23" s="96">
        <f>G23/G10*100</f>
        <v>8.970099667774086</v>
      </c>
      <c r="J23" s="97" t="s">
        <v>173</v>
      </c>
      <c r="K23" s="98">
        <v>26</v>
      </c>
      <c r="L23" s="99" t="s">
        <v>181</v>
      </c>
      <c r="M23" s="96">
        <f>K23/K10*100</f>
        <v>8.637873754152823</v>
      </c>
      <c r="N23" s="97" t="s">
        <v>173</v>
      </c>
      <c r="O23" s="98">
        <v>27</v>
      </c>
      <c r="P23" s="99" t="s">
        <v>181</v>
      </c>
      <c r="Q23" s="96">
        <f>O23/O10*100</f>
        <v>8.970099667774086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31273</v>
      </c>
      <c r="AA23" s="35">
        <v>53169</v>
      </c>
      <c r="AB23" s="36">
        <v>34186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G30/(G10*366)*100</f>
        <v>68.90329139661965</v>
      </c>
      <c r="H24" s="696"/>
      <c r="I24" s="696"/>
      <c r="J24" s="697"/>
      <c r="K24" s="698">
        <f>K30/(K10*365)*100</f>
        <v>68.3757338551859</v>
      </c>
      <c r="L24" s="696"/>
      <c r="M24" s="696"/>
      <c r="N24" s="697"/>
      <c r="O24" s="698">
        <v>67.5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-55822</v>
      </c>
      <c r="AA24" s="101">
        <f>AA7-AA16</f>
        <v>161283</v>
      </c>
      <c r="AB24" s="180">
        <f>AB7-AB16</f>
        <v>-296865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68.9</v>
      </c>
      <c r="H25" s="624"/>
      <c r="I25" s="624"/>
      <c r="J25" s="625"/>
      <c r="K25" s="626">
        <v>68.4</v>
      </c>
      <c r="L25" s="624"/>
      <c r="M25" s="624"/>
      <c r="N25" s="625"/>
      <c r="O25" s="626">
        <v>67.5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-86757</v>
      </c>
      <c r="AA25" s="107">
        <f>AA6-AA15</f>
        <v>110241</v>
      </c>
      <c r="AB25" s="183">
        <f>AB6-AB15</f>
        <v>-322147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68.9</v>
      </c>
      <c r="H26" s="624"/>
      <c r="I26" s="624"/>
      <c r="J26" s="625"/>
      <c r="K26" s="626">
        <v>68.4</v>
      </c>
      <c r="L26" s="624"/>
      <c r="M26" s="624"/>
      <c r="N26" s="625"/>
      <c r="O26" s="626">
        <v>67.5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336000</v>
      </c>
      <c r="AA26" s="27">
        <v>231000</v>
      </c>
      <c r="AB26" s="28">
        <v>1192350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11.8</v>
      </c>
      <c r="H27" s="624"/>
      <c r="I27" s="624"/>
      <c r="J27" s="625"/>
      <c r="K27" s="626">
        <v>11.2</v>
      </c>
      <c r="L27" s="624"/>
      <c r="M27" s="624"/>
      <c r="N27" s="625"/>
      <c r="O27" s="626">
        <v>10.1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336000</v>
      </c>
      <c r="AA27" s="35">
        <v>231000</v>
      </c>
      <c r="AB27" s="36">
        <v>1093000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207</v>
      </c>
      <c r="H28" s="648"/>
      <c r="I28" s="648"/>
      <c r="J28" s="649"/>
      <c r="K28" s="650">
        <v>206</v>
      </c>
      <c r="L28" s="648"/>
      <c r="M28" s="648"/>
      <c r="N28" s="649"/>
      <c r="O28" s="650">
        <v>203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>
        <v>31448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533</v>
      </c>
      <c r="H29" s="648"/>
      <c r="I29" s="648"/>
      <c r="J29" s="649"/>
      <c r="K29" s="650">
        <v>525</v>
      </c>
      <c r="L29" s="648"/>
      <c r="M29" s="648"/>
      <c r="N29" s="649"/>
      <c r="O29" s="650">
        <v>532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993062</v>
      </c>
      <c r="AA29" s="35">
        <v>931239</v>
      </c>
      <c r="AB29" s="36">
        <v>1593084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75908</v>
      </c>
      <c r="H30" s="656"/>
      <c r="I30" s="656"/>
      <c r="J30" s="657"/>
      <c r="K30" s="658">
        <v>75121</v>
      </c>
      <c r="L30" s="656"/>
      <c r="M30" s="656"/>
      <c r="N30" s="657"/>
      <c r="O30" s="658">
        <v>74145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338703</v>
      </c>
      <c r="AA30" s="35">
        <v>244635</v>
      </c>
      <c r="AB30" s="36">
        <v>1227063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140732</v>
      </c>
      <c r="H31" s="656"/>
      <c r="I31" s="656"/>
      <c r="J31" s="657"/>
      <c r="K31" s="658">
        <v>138555</v>
      </c>
      <c r="L31" s="656"/>
      <c r="M31" s="656"/>
      <c r="N31" s="657"/>
      <c r="O31" s="658">
        <v>139482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654359</v>
      </c>
      <c r="AA31" s="35">
        <v>686604</v>
      </c>
      <c r="AB31" s="36">
        <v>366021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185.4</v>
      </c>
      <c r="H32" s="624"/>
      <c r="I32" s="624"/>
      <c r="J32" s="625"/>
      <c r="K32" s="626">
        <v>184.4</v>
      </c>
      <c r="L32" s="624"/>
      <c r="M32" s="624"/>
      <c r="N32" s="625"/>
      <c r="O32" s="626">
        <v>188.1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-657062</v>
      </c>
      <c r="AA32" s="179">
        <f>AA26-AA29</f>
        <v>-700239</v>
      </c>
      <c r="AB32" s="180">
        <f>AB26-AB29</f>
        <v>-400734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14439</v>
      </c>
      <c r="H33" s="656"/>
      <c r="I33" s="656"/>
      <c r="J33" s="657"/>
      <c r="K33" s="658">
        <v>14983</v>
      </c>
      <c r="L33" s="656"/>
      <c r="M33" s="656"/>
      <c r="N33" s="657"/>
      <c r="O33" s="658">
        <v>13922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443853</v>
      </c>
      <c r="AA33" s="35">
        <v>351287</v>
      </c>
      <c r="AB33" s="36">
        <v>967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3.6</v>
      </c>
      <c r="H34" s="624"/>
      <c r="I34" s="624"/>
      <c r="J34" s="625"/>
      <c r="K34" s="626">
        <v>3.4</v>
      </c>
      <c r="L34" s="624"/>
      <c r="M34" s="624"/>
      <c r="N34" s="625"/>
      <c r="O34" s="626">
        <v>3.4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599">
        <f>Z32+Z33</f>
        <v>-213209</v>
      </c>
      <c r="AA34" s="600">
        <f>AA32+AA33</f>
        <v>-348952</v>
      </c>
      <c r="AB34" s="479">
        <f>AB32+AB33</f>
        <v>-399767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6.6</v>
      </c>
      <c r="H35" s="624"/>
      <c r="I35" s="624"/>
      <c r="J35" s="625"/>
      <c r="K35" s="626">
        <v>6.3</v>
      </c>
      <c r="L35" s="624"/>
      <c r="M35" s="624"/>
      <c r="N35" s="625"/>
      <c r="O35" s="626">
        <v>6.4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601">
        <v>-213209</v>
      </c>
      <c r="AA35" s="602">
        <v>-348952</v>
      </c>
      <c r="AB35" s="479">
        <v>-600317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271</v>
      </c>
      <c r="H36" s="648"/>
      <c r="I36" s="648"/>
      <c r="J36" s="649"/>
      <c r="K36" s="650">
        <v>282</v>
      </c>
      <c r="L36" s="648"/>
      <c r="M36" s="648"/>
      <c r="N36" s="649"/>
      <c r="O36" s="650">
        <v>286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1439084</v>
      </c>
      <c r="AA36" s="27">
        <v>1428345</v>
      </c>
      <c r="AB36" s="28">
        <v>1243384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115.5</v>
      </c>
      <c r="H37" s="624"/>
      <c r="I37" s="624"/>
      <c r="J37" s="625"/>
      <c r="K37" s="626">
        <v>112.8</v>
      </c>
      <c r="L37" s="624"/>
      <c r="M37" s="624"/>
      <c r="N37" s="625"/>
      <c r="O37" s="626">
        <v>113.5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1439084</v>
      </c>
      <c r="AA37" s="132">
        <v>1428345</v>
      </c>
      <c r="AB37" s="133">
        <v>1243384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56694</v>
      </c>
      <c r="H38" s="648"/>
      <c r="I38" s="648"/>
      <c r="J38" s="649"/>
      <c r="K38" s="650">
        <v>62839</v>
      </c>
      <c r="L38" s="648"/>
      <c r="M38" s="648"/>
      <c r="N38" s="649"/>
      <c r="O38" s="650">
        <v>64104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8058730</v>
      </c>
      <c r="AA38" s="136">
        <v>8249236</v>
      </c>
      <c r="AB38" s="137">
        <v>9248494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10256</v>
      </c>
      <c r="H39" s="648"/>
      <c r="I39" s="648"/>
      <c r="J39" s="649"/>
      <c r="K39" s="650">
        <v>10375</v>
      </c>
      <c r="L39" s="648"/>
      <c r="M39" s="648"/>
      <c r="N39" s="649"/>
      <c r="O39" s="650">
        <v>10841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6453521</v>
      </c>
      <c r="AA39" s="27">
        <v>6277814</v>
      </c>
      <c r="AB39" s="28">
        <v>7044635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27410</v>
      </c>
      <c r="H40" s="648"/>
      <c r="I40" s="648"/>
      <c r="J40" s="649"/>
      <c r="K40" s="650">
        <v>29929</v>
      </c>
      <c r="L40" s="648"/>
      <c r="M40" s="648"/>
      <c r="N40" s="649"/>
      <c r="O40" s="650">
        <v>30446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13197344</v>
      </c>
      <c r="AA40" s="35">
        <v>13324979</v>
      </c>
      <c r="AB40" s="36">
        <v>14392202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2711</v>
      </c>
      <c r="H41" s="648"/>
      <c r="I41" s="648"/>
      <c r="J41" s="649"/>
      <c r="K41" s="650">
        <v>2825</v>
      </c>
      <c r="L41" s="648"/>
      <c r="M41" s="648"/>
      <c r="N41" s="649"/>
      <c r="O41" s="650">
        <v>3068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6793101</v>
      </c>
      <c r="AA41" s="35">
        <v>7112154</v>
      </c>
      <c r="AB41" s="36">
        <v>7396846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34453</v>
      </c>
      <c r="H42" s="648"/>
      <c r="I42" s="648"/>
      <c r="J42" s="649"/>
      <c r="K42" s="650">
        <v>36098</v>
      </c>
      <c r="L42" s="648"/>
      <c r="M42" s="648"/>
      <c r="N42" s="649"/>
      <c r="O42" s="650">
        <v>37627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1156067</v>
      </c>
      <c r="AA42" s="149">
        <v>1197075</v>
      </c>
      <c r="AB42" s="150">
        <v>2191149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17317</v>
      </c>
      <c r="H43" s="648"/>
      <c r="I43" s="648"/>
      <c r="J43" s="649"/>
      <c r="K43" s="650">
        <v>17671</v>
      </c>
      <c r="L43" s="648"/>
      <c r="M43" s="648"/>
      <c r="N43" s="649"/>
      <c r="O43" s="650">
        <v>18263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27033</v>
      </c>
      <c r="AA43" s="35">
        <v>39941</v>
      </c>
      <c r="AB43" s="36">
        <v>957074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2347</v>
      </c>
      <c r="H44" s="648"/>
      <c r="I44" s="648"/>
      <c r="J44" s="649"/>
      <c r="K44" s="650">
        <v>2505</v>
      </c>
      <c r="L44" s="648"/>
      <c r="M44" s="648"/>
      <c r="N44" s="649"/>
      <c r="O44" s="650">
        <v>2703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1073293</v>
      </c>
      <c r="AA44" s="154">
        <v>1111206</v>
      </c>
      <c r="AB44" s="155">
        <v>1193965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53">
        <v>-400</v>
      </c>
      <c r="H45" s="653"/>
      <c r="I45" s="653"/>
      <c r="J45" s="655"/>
      <c r="K45" s="650">
        <v>516</v>
      </c>
      <c r="L45" s="648"/>
      <c r="M45" s="648"/>
      <c r="N45" s="649"/>
      <c r="O45" s="652">
        <v>-1508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>
        <v>44610</v>
      </c>
      <c r="AA45" s="35">
        <v>35647</v>
      </c>
      <c r="AB45" s="36">
        <v>33494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14</v>
      </c>
      <c r="H46" s="648"/>
      <c r="I46" s="648"/>
      <c r="J46" s="649"/>
      <c r="K46" s="650">
        <v>22</v>
      </c>
      <c r="L46" s="648"/>
      <c r="M46" s="648"/>
      <c r="N46" s="649"/>
      <c r="O46" s="650">
        <v>23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74415</v>
      </c>
      <c r="AA46" s="149">
        <v>39087</v>
      </c>
      <c r="AB46" s="150">
        <v>20459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59479</v>
      </c>
      <c r="H47" s="648"/>
      <c r="I47" s="648"/>
      <c r="J47" s="649"/>
      <c r="K47" s="650">
        <v>62766</v>
      </c>
      <c r="L47" s="648"/>
      <c r="M47" s="648"/>
      <c r="N47" s="649"/>
      <c r="O47" s="650">
        <v>62913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7684003</v>
      </c>
      <c r="AA47" s="136">
        <f>AA39+AA42+AA46</f>
        <v>7513976</v>
      </c>
      <c r="AB47" s="137">
        <f>AB39+AB42+AB46</f>
        <v>9256243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65364</v>
      </c>
      <c r="H48" s="700"/>
      <c r="I48" s="700"/>
      <c r="J48" s="701"/>
      <c r="K48" s="702">
        <v>67628</v>
      </c>
      <c r="L48" s="700"/>
      <c r="M48" s="700"/>
      <c r="N48" s="701"/>
      <c r="O48" s="702">
        <v>70449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>
        <v>0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50.5</v>
      </c>
      <c r="H49" s="635"/>
      <c r="I49" s="635"/>
      <c r="J49" s="636"/>
      <c r="K49" s="637">
        <v>49.3</v>
      </c>
      <c r="L49" s="635"/>
      <c r="M49" s="635"/>
      <c r="N49" s="636"/>
      <c r="O49" s="637">
        <v>48.7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1369276</v>
      </c>
      <c r="AA49" s="35">
        <v>1546027</v>
      </c>
      <c r="AB49" s="36">
        <v>2791466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0.4</v>
      </c>
      <c r="H50" s="624"/>
      <c r="I50" s="624"/>
      <c r="J50" s="625"/>
      <c r="K50" s="626">
        <v>0.3</v>
      </c>
      <c r="L50" s="624"/>
      <c r="M50" s="624"/>
      <c r="N50" s="625"/>
      <c r="O50" s="626">
        <v>0.2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>
        <v>852845</v>
      </c>
      <c r="AA50" s="35">
        <v>970731</v>
      </c>
      <c r="AB50" s="36">
        <v>1219842</v>
      </c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5.4</v>
      </c>
      <c r="H51" s="624"/>
      <c r="I51" s="624"/>
      <c r="J51" s="625"/>
      <c r="K51" s="626">
        <v>5.3</v>
      </c>
      <c r="L51" s="624"/>
      <c r="M51" s="624"/>
      <c r="N51" s="625"/>
      <c r="O51" s="626">
        <v>4.9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478006</v>
      </c>
      <c r="AA51" s="132">
        <v>537166</v>
      </c>
      <c r="AB51" s="133">
        <v>1537605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18.1</v>
      </c>
      <c r="H52" s="624"/>
      <c r="I52" s="624"/>
      <c r="J52" s="625"/>
      <c r="K52" s="626">
        <v>18.5</v>
      </c>
      <c r="L52" s="624"/>
      <c r="M52" s="624"/>
      <c r="N52" s="625"/>
      <c r="O52" s="626">
        <v>18.7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1369276</v>
      </c>
      <c r="AA52" s="169">
        <f>AA48+AA49</f>
        <v>1546027</v>
      </c>
      <c r="AB52" s="170">
        <f>AB48+AB49</f>
        <v>2791466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25.6</v>
      </c>
      <c r="H53" s="639"/>
      <c r="I53" s="639"/>
      <c r="J53" s="640"/>
      <c r="K53" s="641">
        <v>26.6</v>
      </c>
      <c r="L53" s="639"/>
      <c r="M53" s="639"/>
      <c r="N53" s="640"/>
      <c r="O53" s="641">
        <v>27.5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3108201</v>
      </c>
      <c r="AA53" s="27">
        <v>2652596</v>
      </c>
      <c r="AB53" s="28">
        <v>3411024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54.2</v>
      </c>
      <c r="H54" s="635"/>
      <c r="I54" s="635"/>
      <c r="J54" s="636"/>
      <c r="K54" s="637">
        <v>56.9</v>
      </c>
      <c r="L54" s="635"/>
      <c r="M54" s="635"/>
      <c r="N54" s="636"/>
      <c r="O54" s="637">
        <v>43.7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956822</v>
      </c>
      <c r="AA54" s="35">
        <v>956822</v>
      </c>
      <c r="AB54" s="36">
        <v>988270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84.4</v>
      </c>
      <c r="H55" s="624"/>
      <c r="I55" s="624"/>
      <c r="J55" s="625"/>
      <c r="K55" s="626">
        <v>77.4</v>
      </c>
      <c r="L55" s="624"/>
      <c r="M55" s="624"/>
      <c r="N55" s="625"/>
      <c r="O55" s="626">
        <v>78.5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2151379</v>
      </c>
      <c r="AA55" s="35">
        <v>1695774</v>
      </c>
      <c r="AB55" s="36">
        <v>2422754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99.2</v>
      </c>
      <c r="H56" s="624"/>
      <c r="I56" s="624"/>
      <c r="J56" s="625"/>
      <c r="K56" s="626">
        <v>102.1</v>
      </c>
      <c r="L56" s="624"/>
      <c r="M56" s="624"/>
      <c r="N56" s="625"/>
      <c r="O56" s="626">
        <v>96.3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>
        <v>0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91</v>
      </c>
      <c r="H57" s="624"/>
      <c r="I57" s="624"/>
      <c r="J57" s="625"/>
      <c r="K57" s="626">
        <v>92.8</v>
      </c>
      <c r="L57" s="624"/>
      <c r="M57" s="624"/>
      <c r="N57" s="625"/>
      <c r="O57" s="626">
        <v>89.3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3206526</v>
      </c>
      <c r="AA57" s="35">
        <v>3315353</v>
      </c>
      <c r="AB57" s="36">
        <v>3053753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6.1</v>
      </c>
      <c r="H58" s="624"/>
      <c r="I58" s="624"/>
      <c r="J58" s="625"/>
      <c r="K58" s="626">
        <v>4.2</v>
      </c>
      <c r="L58" s="624"/>
      <c r="M58" s="624"/>
      <c r="N58" s="625"/>
      <c r="O58" s="626">
        <v>8.8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3605042</v>
      </c>
      <c r="AA58" s="35">
        <v>3603628</v>
      </c>
      <c r="AB58" s="36">
        <v>3664175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>
        <v>3.3</v>
      </c>
      <c r="H59" s="624"/>
      <c r="I59" s="624"/>
      <c r="J59" s="625"/>
      <c r="K59" s="626">
        <v>5.1</v>
      </c>
      <c r="L59" s="624"/>
      <c r="M59" s="624"/>
      <c r="N59" s="625"/>
      <c r="O59" s="626">
        <v>8.7</v>
      </c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>
        <v>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10</v>
      </c>
      <c r="H60" s="624"/>
      <c r="I60" s="624"/>
      <c r="J60" s="625"/>
      <c r="K60" s="626">
        <v>10</v>
      </c>
      <c r="L60" s="624"/>
      <c r="M60" s="624"/>
      <c r="N60" s="625"/>
      <c r="O60" s="626">
        <v>5.3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-398516</v>
      </c>
      <c r="AA60" s="182">
        <v>-288275</v>
      </c>
      <c r="AB60" s="183">
        <v>-610422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0.4</v>
      </c>
      <c r="H61" s="624"/>
      <c r="I61" s="624"/>
      <c r="J61" s="625"/>
      <c r="K61" s="626">
        <v>0.3</v>
      </c>
      <c r="L61" s="624"/>
      <c r="M61" s="624"/>
      <c r="N61" s="625"/>
      <c r="O61" s="626">
        <v>0.3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6314727</v>
      </c>
      <c r="AA61" s="169">
        <f>AA53+AA57</f>
        <v>5967949</v>
      </c>
      <c r="AB61" s="170">
        <f>AB53+AB57</f>
        <v>6464777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10.4</v>
      </c>
      <c r="H62" s="624"/>
      <c r="I62" s="624"/>
      <c r="J62" s="625"/>
      <c r="K62" s="626">
        <v>10.3</v>
      </c>
      <c r="L62" s="624"/>
      <c r="M62" s="624"/>
      <c r="N62" s="625"/>
      <c r="O62" s="626">
        <v>5.6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57.3</v>
      </c>
      <c r="H63" s="624"/>
      <c r="I63" s="624"/>
      <c r="J63" s="625"/>
      <c r="K63" s="626">
        <v>54.8</v>
      </c>
      <c r="L63" s="624"/>
      <c r="M63" s="624"/>
      <c r="N63" s="625"/>
      <c r="O63" s="626">
        <v>56.4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20.5</v>
      </c>
      <c r="H64" s="639"/>
      <c r="I64" s="639"/>
      <c r="J64" s="640"/>
      <c r="K64" s="641">
        <v>20.6</v>
      </c>
      <c r="L64" s="639"/>
      <c r="M64" s="639"/>
      <c r="N64" s="640"/>
      <c r="O64" s="641">
        <v>21.6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438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17918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24563</v>
      </c>
      <c r="H6" s="691"/>
      <c r="I6" s="691"/>
      <c r="J6" s="691"/>
      <c r="K6" s="691"/>
      <c r="L6" s="693" t="s">
        <v>10</v>
      </c>
      <c r="M6" s="693"/>
      <c r="N6" s="693"/>
      <c r="O6" s="19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2893348</v>
      </c>
      <c r="AA6" s="27">
        <f>AA7+AA14</f>
        <v>2893238</v>
      </c>
      <c r="AB6" s="28">
        <f>AB7+AB14</f>
        <v>2957676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414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2893348</v>
      </c>
      <c r="AA7" s="35">
        <f>AA8+AA12</f>
        <v>2893238</v>
      </c>
      <c r="AB7" s="36">
        <f>AB8+AB12</f>
        <v>2957676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78" t="s">
        <v>415</v>
      </c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7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2161156</v>
      </c>
      <c r="AA8" s="35">
        <v>2170175</v>
      </c>
      <c r="AB8" s="36">
        <v>2207860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1108930</v>
      </c>
      <c r="AA9" s="35">
        <v>1134085</v>
      </c>
      <c r="AB9" s="36">
        <v>1196384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144</v>
      </c>
      <c r="H10" s="49" t="s">
        <v>181</v>
      </c>
      <c r="I10" s="50">
        <f>SUM(I11:I15)</f>
        <v>144</v>
      </c>
      <c r="J10" s="53" t="s">
        <v>173</v>
      </c>
      <c r="K10" s="52">
        <f>SUM(K11:K15)</f>
        <v>144</v>
      </c>
      <c r="L10" s="53" t="s">
        <v>181</v>
      </c>
      <c r="M10" s="48">
        <f>SUM(M11:M15)</f>
        <v>144</v>
      </c>
      <c r="N10" s="51" t="s">
        <v>173</v>
      </c>
      <c r="O10" s="50">
        <f>SUM(O11:O15)</f>
        <v>144</v>
      </c>
      <c r="P10" s="53" t="s">
        <v>181</v>
      </c>
      <c r="Q10" s="48">
        <f>SUM(Q11:Q15)</f>
        <v>144</v>
      </c>
      <c r="R10" s="48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875073</v>
      </c>
      <c r="AA10" s="35">
        <v>862003</v>
      </c>
      <c r="AB10" s="36">
        <v>826253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62">
        <v>92</v>
      </c>
      <c r="H11" s="63" t="s">
        <v>181</v>
      </c>
      <c r="I11" s="58">
        <v>92</v>
      </c>
      <c r="J11" s="63" t="s">
        <v>173</v>
      </c>
      <c r="K11" s="62">
        <v>92</v>
      </c>
      <c r="L11" s="63" t="s">
        <v>181</v>
      </c>
      <c r="M11" s="58">
        <v>92</v>
      </c>
      <c r="N11" s="61" t="s">
        <v>173</v>
      </c>
      <c r="O11" s="60">
        <v>92</v>
      </c>
      <c r="P11" s="63" t="s">
        <v>181</v>
      </c>
      <c r="Q11" s="58">
        <v>92</v>
      </c>
      <c r="R11" s="486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90049</v>
      </c>
      <c r="AA11" s="35">
        <v>91461</v>
      </c>
      <c r="AB11" s="36">
        <v>105680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62">
        <v>48</v>
      </c>
      <c r="H12" s="63" t="s">
        <v>181</v>
      </c>
      <c r="I12" s="58">
        <v>48</v>
      </c>
      <c r="J12" s="63" t="s">
        <v>173</v>
      </c>
      <c r="K12" s="62">
        <v>48</v>
      </c>
      <c r="L12" s="63" t="s">
        <v>181</v>
      </c>
      <c r="M12" s="58">
        <v>48</v>
      </c>
      <c r="N12" s="61" t="s">
        <v>173</v>
      </c>
      <c r="O12" s="60">
        <v>48</v>
      </c>
      <c r="P12" s="63" t="s">
        <v>181</v>
      </c>
      <c r="Q12" s="58">
        <v>48</v>
      </c>
      <c r="R12" s="486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732192</v>
      </c>
      <c r="AA12" s="35">
        <v>723063</v>
      </c>
      <c r="AB12" s="36">
        <v>749816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62">
        <v>0</v>
      </c>
      <c r="H13" s="63" t="s">
        <v>181</v>
      </c>
      <c r="I13" s="58"/>
      <c r="J13" s="63" t="s">
        <v>173</v>
      </c>
      <c r="K13" s="62">
        <v>0</v>
      </c>
      <c r="L13" s="63" t="s">
        <v>181</v>
      </c>
      <c r="M13" s="58"/>
      <c r="N13" s="61" t="s">
        <v>173</v>
      </c>
      <c r="O13" s="60">
        <v>0</v>
      </c>
      <c r="P13" s="63" t="s">
        <v>181</v>
      </c>
      <c r="Q13" s="58"/>
      <c r="R13" s="486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294557</v>
      </c>
      <c r="AA13" s="35">
        <v>308314</v>
      </c>
      <c r="AB13" s="36">
        <v>294130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62">
        <v>0</v>
      </c>
      <c r="H14" s="63" t="s">
        <v>181</v>
      </c>
      <c r="I14" s="58"/>
      <c r="J14" s="63" t="s">
        <v>173</v>
      </c>
      <c r="K14" s="62">
        <v>0</v>
      </c>
      <c r="L14" s="63" t="s">
        <v>181</v>
      </c>
      <c r="M14" s="58"/>
      <c r="N14" s="61" t="s">
        <v>173</v>
      </c>
      <c r="O14" s="60">
        <v>0</v>
      </c>
      <c r="P14" s="63" t="s">
        <v>181</v>
      </c>
      <c r="Q14" s="58"/>
      <c r="R14" s="486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>
        <v>0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2">
        <v>4</v>
      </c>
      <c r="H15" s="63" t="s">
        <v>181</v>
      </c>
      <c r="I15" s="58">
        <v>4</v>
      </c>
      <c r="J15" s="63" t="s">
        <v>173</v>
      </c>
      <c r="K15" s="62">
        <v>4</v>
      </c>
      <c r="L15" s="63" t="s">
        <v>181</v>
      </c>
      <c r="M15" s="58">
        <v>4</v>
      </c>
      <c r="N15" s="61" t="s">
        <v>173</v>
      </c>
      <c r="O15" s="60">
        <v>4</v>
      </c>
      <c r="P15" s="63" t="s">
        <v>181</v>
      </c>
      <c r="Q15" s="58">
        <v>4</v>
      </c>
      <c r="R15" s="486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3102213</v>
      </c>
      <c r="AA15" s="35">
        <f>AA16+AA23</f>
        <v>3169032</v>
      </c>
      <c r="AB15" s="36">
        <f>AB16+AB23</f>
        <v>3138492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5">
        <v>32</v>
      </c>
      <c r="H16" s="673"/>
      <c r="I16" s="673"/>
      <c r="J16" s="673"/>
      <c r="K16" s="675">
        <v>32</v>
      </c>
      <c r="L16" s="673"/>
      <c r="M16" s="673"/>
      <c r="N16" s="674"/>
      <c r="O16" s="673">
        <v>32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3102213</v>
      </c>
      <c r="AA16" s="35">
        <f>AA17+AA21</f>
        <v>3169032</v>
      </c>
      <c r="AB16" s="36">
        <f>AB17+AB21</f>
        <v>3138492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9">
        <v>18</v>
      </c>
      <c r="H17" s="677"/>
      <c r="I17" s="677"/>
      <c r="J17" s="677"/>
      <c r="K17" s="679">
        <v>18</v>
      </c>
      <c r="L17" s="677"/>
      <c r="M17" s="677"/>
      <c r="N17" s="678"/>
      <c r="O17" s="677">
        <v>18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2496786</v>
      </c>
      <c r="AA17" s="35">
        <v>2564229</v>
      </c>
      <c r="AB17" s="36">
        <v>2538672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5">
        <v>11669</v>
      </c>
      <c r="H18" s="663"/>
      <c r="I18" s="663"/>
      <c r="J18" s="663"/>
      <c r="K18" s="875">
        <v>11669</v>
      </c>
      <c r="L18" s="876"/>
      <c r="M18" s="876"/>
      <c r="N18" s="877"/>
      <c r="O18" s="663">
        <v>11669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1109450</v>
      </c>
      <c r="AA18" s="35">
        <v>1159740</v>
      </c>
      <c r="AB18" s="36">
        <v>1185366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476376</v>
      </c>
      <c r="AA19" s="35">
        <v>469914</v>
      </c>
      <c r="AB19" s="36">
        <v>429102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487">
        <v>195.9</v>
      </c>
      <c r="H20" s="85" t="s">
        <v>181</v>
      </c>
      <c r="I20" s="488">
        <f>G20/G10*100</f>
        <v>136.04166666666666</v>
      </c>
      <c r="J20" s="87" t="s">
        <v>173</v>
      </c>
      <c r="K20" s="489">
        <v>201.9</v>
      </c>
      <c r="L20" s="89" t="s">
        <v>181</v>
      </c>
      <c r="M20" s="488">
        <f>K20/K10*100</f>
        <v>140.20833333333334</v>
      </c>
      <c r="N20" s="87" t="s">
        <v>173</v>
      </c>
      <c r="O20" s="489">
        <v>207.5</v>
      </c>
      <c r="P20" s="89" t="s">
        <v>181</v>
      </c>
      <c r="Q20" s="488">
        <f>O20/O10*100</f>
        <v>144.09722222222223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325090</v>
      </c>
      <c r="AA20" s="35">
        <v>321052</v>
      </c>
      <c r="AB20" s="36">
        <v>303901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487">
        <v>19.1</v>
      </c>
      <c r="H21" s="85" t="s">
        <v>181</v>
      </c>
      <c r="I21" s="91">
        <f>G21/G10*100</f>
        <v>13.26388888888889</v>
      </c>
      <c r="J21" s="87" t="s">
        <v>173</v>
      </c>
      <c r="K21" s="489">
        <v>18.2</v>
      </c>
      <c r="L21" s="89" t="s">
        <v>181</v>
      </c>
      <c r="M21" s="91">
        <f>K21/K10*100</f>
        <v>12.63888888888889</v>
      </c>
      <c r="N21" s="87" t="s">
        <v>173</v>
      </c>
      <c r="O21" s="489">
        <v>18.2</v>
      </c>
      <c r="P21" s="89" t="s">
        <v>181</v>
      </c>
      <c r="Q21" s="91">
        <f>O21/O10*100</f>
        <v>12.63888888888889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605427</v>
      </c>
      <c r="AA21" s="35">
        <v>604803</v>
      </c>
      <c r="AB21" s="36">
        <v>599820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487">
        <v>94.5</v>
      </c>
      <c r="H22" s="85" t="s">
        <v>181</v>
      </c>
      <c r="I22" s="91">
        <f>G22/G10*100</f>
        <v>65.625</v>
      </c>
      <c r="J22" s="87" t="s">
        <v>173</v>
      </c>
      <c r="K22" s="489">
        <v>99.5</v>
      </c>
      <c r="L22" s="89" t="s">
        <v>181</v>
      </c>
      <c r="M22" s="91">
        <f>K22/K10*100</f>
        <v>69.09722222222221</v>
      </c>
      <c r="N22" s="87" t="s">
        <v>173</v>
      </c>
      <c r="O22" s="489">
        <v>101.2</v>
      </c>
      <c r="P22" s="89" t="s">
        <v>181</v>
      </c>
      <c r="Q22" s="91">
        <f>O22/O10*100</f>
        <v>70.27777777777779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72414</v>
      </c>
      <c r="AA22" s="35">
        <v>70983</v>
      </c>
      <c r="AB22" s="36">
        <v>69326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490">
        <v>31.9</v>
      </c>
      <c r="H23" s="77" t="s">
        <v>181</v>
      </c>
      <c r="I23" s="96">
        <f>G23/G10*100</f>
        <v>22.15277777777778</v>
      </c>
      <c r="J23" s="97" t="s">
        <v>173</v>
      </c>
      <c r="K23" s="491">
        <v>32.8</v>
      </c>
      <c r="L23" s="99" t="s">
        <v>181</v>
      </c>
      <c r="M23" s="96">
        <f>K23/K10*100</f>
        <v>22.777777777777775</v>
      </c>
      <c r="N23" s="97" t="s">
        <v>173</v>
      </c>
      <c r="O23" s="491">
        <v>34.9</v>
      </c>
      <c r="P23" s="99" t="s">
        <v>181</v>
      </c>
      <c r="Q23" s="96">
        <f>O23/O10*100</f>
        <v>24.23611111111111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/>
      <c r="AA23" s="35"/>
      <c r="AB23" s="36">
        <v>0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G30/(G10*366)*100</f>
        <v>67.18465391621129</v>
      </c>
      <c r="H24" s="696"/>
      <c r="I24" s="696"/>
      <c r="J24" s="697"/>
      <c r="K24" s="698">
        <f>K30/(K10*365)*100</f>
        <v>69.06582952815829</v>
      </c>
      <c r="L24" s="696"/>
      <c r="M24" s="696"/>
      <c r="N24" s="697"/>
      <c r="O24" s="698">
        <f>O30/(O10*365)*100</f>
        <v>75.69444444444444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-208865</v>
      </c>
      <c r="AA24" s="179">
        <f>AA7-AA16</f>
        <v>-275794</v>
      </c>
      <c r="AB24" s="180">
        <f>AB7-AB16</f>
        <v>-180816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67.2</v>
      </c>
      <c r="H25" s="624"/>
      <c r="I25" s="624"/>
      <c r="J25" s="625"/>
      <c r="K25" s="626">
        <v>69.1</v>
      </c>
      <c r="L25" s="624"/>
      <c r="M25" s="624"/>
      <c r="N25" s="625"/>
      <c r="O25" s="626">
        <v>75.7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-208865</v>
      </c>
      <c r="AA25" s="182">
        <f>AA6-AA15</f>
        <v>-275794</v>
      </c>
      <c r="AB25" s="183">
        <f>AB6-AB15</f>
        <v>-180816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69.1</v>
      </c>
      <c r="H26" s="624"/>
      <c r="I26" s="624"/>
      <c r="J26" s="625"/>
      <c r="K26" s="626">
        <v>71</v>
      </c>
      <c r="L26" s="624"/>
      <c r="M26" s="624"/>
      <c r="N26" s="625"/>
      <c r="O26" s="626">
        <v>77.9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116460</v>
      </c>
      <c r="AA26" s="27">
        <v>108373</v>
      </c>
      <c r="AB26" s="28">
        <v>190216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18.9</v>
      </c>
      <c r="H27" s="624"/>
      <c r="I27" s="624"/>
      <c r="J27" s="625"/>
      <c r="K27" s="626">
        <v>20.1</v>
      </c>
      <c r="L27" s="624"/>
      <c r="M27" s="624"/>
      <c r="N27" s="625"/>
      <c r="O27" s="626">
        <v>19.5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>
        <v>55000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96.7</v>
      </c>
      <c r="H28" s="648"/>
      <c r="I28" s="648"/>
      <c r="J28" s="649"/>
      <c r="K28" s="650">
        <v>99.5</v>
      </c>
      <c r="L28" s="648"/>
      <c r="M28" s="648"/>
      <c r="N28" s="649"/>
      <c r="O28" s="650">
        <v>109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116160</v>
      </c>
      <c r="AA28" s="35">
        <v>108373</v>
      </c>
      <c r="AB28" s="36">
        <v>135216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289.7</v>
      </c>
      <c r="H29" s="648"/>
      <c r="I29" s="648"/>
      <c r="J29" s="649"/>
      <c r="K29" s="650">
        <v>290.2</v>
      </c>
      <c r="L29" s="648"/>
      <c r="M29" s="648"/>
      <c r="N29" s="649"/>
      <c r="O29" s="650">
        <v>283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280232</v>
      </c>
      <c r="AA29" s="35">
        <v>195594</v>
      </c>
      <c r="AB29" s="36">
        <v>302851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35409</v>
      </c>
      <c r="H30" s="656"/>
      <c r="I30" s="656"/>
      <c r="J30" s="657"/>
      <c r="K30" s="658">
        <v>36301</v>
      </c>
      <c r="L30" s="656"/>
      <c r="M30" s="656"/>
      <c r="N30" s="657"/>
      <c r="O30" s="658">
        <v>39785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104439</v>
      </c>
      <c r="AA30" s="35">
        <v>17574</v>
      </c>
      <c r="AB30" s="36">
        <v>82918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85472</v>
      </c>
      <c r="H31" s="656"/>
      <c r="I31" s="656"/>
      <c r="J31" s="657"/>
      <c r="K31" s="658">
        <v>85021</v>
      </c>
      <c r="L31" s="656"/>
      <c r="M31" s="656"/>
      <c r="N31" s="657"/>
      <c r="O31" s="658">
        <v>83475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175793</v>
      </c>
      <c r="AA31" s="35">
        <v>178020</v>
      </c>
      <c r="AB31" s="36">
        <v>219933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241.4</v>
      </c>
      <c r="H32" s="624"/>
      <c r="I32" s="624"/>
      <c r="J32" s="625"/>
      <c r="K32" s="626">
        <v>234.2</v>
      </c>
      <c r="L32" s="624"/>
      <c r="M32" s="624"/>
      <c r="N32" s="625"/>
      <c r="O32" s="626">
        <v>209.8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-163772</v>
      </c>
      <c r="AA32" s="179">
        <f>AA26-AA29</f>
        <v>-87221</v>
      </c>
      <c r="AB32" s="180">
        <f>AB26-AB29</f>
        <v>-112635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12800</v>
      </c>
      <c r="H33" s="656"/>
      <c r="I33" s="656"/>
      <c r="J33" s="657"/>
      <c r="K33" s="658">
        <v>12554</v>
      </c>
      <c r="L33" s="656"/>
      <c r="M33" s="656"/>
      <c r="N33" s="657"/>
      <c r="O33" s="658">
        <v>12409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163772</v>
      </c>
      <c r="AA33" s="35">
        <v>87221</v>
      </c>
      <c r="AB33" s="36">
        <v>112635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5.3</v>
      </c>
      <c r="H34" s="624"/>
      <c r="I34" s="624"/>
      <c r="J34" s="625"/>
      <c r="K34" s="626">
        <v>5.8</v>
      </c>
      <c r="L34" s="624"/>
      <c r="M34" s="624"/>
      <c r="N34" s="625"/>
      <c r="O34" s="626">
        <v>6.3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12.8</v>
      </c>
      <c r="H35" s="624"/>
      <c r="I35" s="624"/>
      <c r="J35" s="625"/>
      <c r="K35" s="626">
        <v>13.7</v>
      </c>
      <c r="L35" s="624"/>
      <c r="M35" s="624"/>
      <c r="N35" s="625"/>
      <c r="O35" s="626">
        <v>13.2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1485359</v>
      </c>
      <c r="AA35" s="123">
        <v>1489914</v>
      </c>
      <c r="AB35" s="117">
        <v>1536029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297.2</v>
      </c>
      <c r="H36" s="648"/>
      <c r="I36" s="648"/>
      <c r="J36" s="649"/>
      <c r="K36" s="650">
        <v>321</v>
      </c>
      <c r="L36" s="648"/>
      <c r="M36" s="648"/>
      <c r="N36" s="649"/>
      <c r="O36" s="650">
        <v>321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500766</v>
      </c>
      <c r="AA36" s="27">
        <v>508148</v>
      </c>
      <c r="AB36" s="28">
        <v>535026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109.7</v>
      </c>
      <c r="H37" s="624"/>
      <c r="I37" s="624"/>
      <c r="J37" s="625"/>
      <c r="K37" s="626">
        <v>109</v>
      </c>
      <c r="L37" s="624"/>
      <c r="M37" s="624"/>
      <c r="N37" s="625"/>
      <c r="O37" s="626">
        <v>108.6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421991</v>
      </c>
      <c r="AA37" s="132">
        <v>445748</v>
      </c>
      <c r="AB37" s="133">
        <v>475801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31317.7</v>
      </c>
      <c r="H38" s="648"/>
      <c r="I38" s="648"/>
      <c r="J38" s="649"/>
      <c r="K38" s="650">
        <v>31241</v>
      </c>
      <c r="L38" s="648"/>
      <c r="M38" s="648"/>
      <c r="N38" s="649"/>
      <c r="O38" s="650">
        <v>30071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3091909</v>
      </c>
      <c r="AA38" s="136">
        <v>3084663</v>
      </c>
      <c r="AB38" s="137">
        <v>3161041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10238.1</v>
      </c>
      <c r="H39" s="648"/>
      <c r="I39" s="648"/>
      <c r="J39" s="649"/>
      <c r="K39" s="650">
        <v>10139</v>
      </c>
      <c r="L39" s="648"/>
      <c r="M39" s="648"/>
      <c r="N39" s="649"/>
      <c r="O39" s="650">
        <v>9898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5265326</v>
      </c>
      <c r="AA39" s="27">
        <v>4934526</v>
      </c>
      <c r="AB39" s="28">
        <v>4693945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20753.8</v>
      </c>
      <c r="H40" s="648"/>
      <c r="I40" s="648"/>
      <c r="J40" s="649"/>
      <c r="K40" s="650">
        <v>20552</v>
      </c>
      <c r="L40" s="648"/>
      <c r="M40" s="648"/>
      <c r="N40" s="649"/>
      <c r="O40" s="650">
        <v>20752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6861325</v>
      </c>
      <c r="AA40" s="35">
        <v>6873817</v>
      </c>
      <c r="AB40" s="36">
        <v>6941765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2576.8</v>
      </c>
      <c r="H41" s="648"/>
      <c r="I41" s="648"/>
      <c r="J41" s="649"/>
      <c r="K41" s="650">
        <v>2542</v>
      </c>
      <c r="L41" s="648"/>
      <c r="M41" s="648"/>
      <c r="N41" s="649"/>
      <c r="O41" s="650">
        <v>2049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1693073</v>
      </c>
      <c r="AA41" s="35">
        <v>2036358</v>
      </c>
      <c r="AB41" s="36">
        <v>2344887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25663.4</v>
      </c>
      <c r="H42" s="648"/>
      <c r="I42" s="648"/>
      <c r="J42" s="649"/>
      <c r="K42" s="650">
        <v>26121</v>
      </c>
      <c r="L42" s="648"/>
      <c r="M42" s="648"/>
      <c r="N42" s="649"/>
      <c r="O42" s="650">
        <v>25462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1650987</v>
      </c>
      <c r="AA42" s="149">
        <v>1615157</v>
      </c>
      <c r="AB42" s="150">
        <v>1687208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9178</v>
      </c>
      <c r="H43" s="648"/>
      <c r="I43" s="648"/>
      <c r="J43" s="649"/>
      <c r="K43" s="650">
        <v>9559</v>
      </c>
      <c r="L43" s="648"/>
      <c r="M43" s="648"/>
      <c r="N43" s="649"/>
      <c r="O43" s="650">
        <v>9617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1219355</v>
      </c>
      <c r="AA43" s="35">
        <v>1235379</v>
      </c>
      <c r="AB43" s="36">
        <v>1281839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2339.9</v>
      </c>
      <c r="H44" s="648"/>
      <c r="I44" s="648"/>
      <c r="J44" s="649"/>
      <c r="K44" s="650">
        <v>2333</v>
      </c>
      <c r="L44" s="648"/>
      <c r="M44" s="648"/>
      <c r="N44" s="649"/>
      <c r="O44" s="650">
        <v>1886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416804</v>
      </c>
      <c r="AA44" s="154">
        <v>365452</v>
      </c>
      <c r="AB44" s="155">
        <v>383599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53">
        <v>-1727.9</v>
      </c>
      <c r="H45" s="653"/>
      <c r="I45" s="653"/>
      <c r="J45" s="655"/>
      <c r="K45" s="652">
        <v>-2273</v>
      </c>
      <c r="L45" s="653"/>
      <c r="M45" s="653"/>
      <c r="N45" s="655"/>
      <c r="O45" s="652">
        <v>-1467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>
        <v>14828</v>
      </c>
      <c r="AA45" s="35">
        <v>14326</v>
      </c>
      <c r="AB45" s="36">
        <v>21770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622.8</v>
      </c>
      <c r="H46" s="648"/>
      <c r="I46" s="648"/>
      <c r="J46" s="649"/>
      <c r="K46" s="650">
        <v>627</v>
      </c>
      <c r="L46" s="648"/>
      <c r="M46" s="648"/>
      <c r="N46" s="649"/>
      <c r="O46" s="650">
        <v>626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187361</v>
      </c>
      <c r="AA46" s="149">
        <v>168165</v>
      </c>
      <c r="AB46" s="150">
        <v>152098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42177.1</v>
      </c>
      <c r="H47" s="648"/>
      <c r="I47" s="648"/>
      <c r="J47" s="649"/>
      <c r="K47" s="650">
        <v>42469</v>
      </c>
      <c r="L47" s="648"/>
      <c r="M47" s="648"/>
      <c r="N47" s="649"/>
      <c r="O47" s="650">
        <v>43207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7103674</v>
      </c>
      <c r="AA47" s="136">
        <f>AA39+AA42+AA46</f>
        <v>6717848</v>
      </c>
      <c r="AB47" s="137">
        <f>AB39+AB42+AB46</f>
        <v>6533251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48727.3</v>
      </c>
      <c r="H48" s="700"/>
      <c r="I48" s="700"/>
      <c r="J48" s="701"/>
      <c r="K48" s="702">
        <v>50181</v>
      </c>
      <c r="L48" s="700"/>
      <c r="M48" s="700"/>
      <c r="N48" s="701"/>
      <c r="O48" s="702">
        <v>49680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>
        <v>0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35.8</v>
      </c>
      <c r="H49" s="635"/>
      <c r="I49" s="635"/>
      <c r="J49" s="636"/>
      <c r="K49" s="637">
        <v>36.6</v>
      </c>
      <c r="L49" s="635"/>
      <c r="M49" s="635"/>
      <c r="N49" s="636"/>
      <c r="O49" s="637">
        <v>37.8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165628</v>
      </c>
      <c r="AA49" s="35">
        <v>125243</v>
      </c>
      <c r="AB49" s="36">
        <v>151179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2.3</v>
      </c>
      <c r="H50" s="624"/>
      <c r="I50" s="624"/>
      <c r="J50" s="625"/>
      <c r="K50" s="626">
        <v>2.2</v>
      </c>
      <c r="L50" s="624"/>
      <c r="M50" s="624"/>
      <c r="N50" s="625"/>
      <c r="O50" s="626">
        <v>2.2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>
        <v>0</v>
      </c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10.5</v>
      </c>
      <c r="H51" s="624"/>
      <c r="I51" s="624"/>
      <c r="J51" s="625"/>
      <c r="K51" s="626">
        <v>10.1</v>
      </c>
      <c r="L51" s="624"/>
      <c r="M51" s="624"/>
      <c r="N51" s="625"/>
      <c r="O51" s="626">
        <v>9.7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159268</v>
      </c>
      <c r="AA51" s="132">
        <v>125243</v>
      </c>
      <c r="AB51" s="133">
        <v>151179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15.4</v>
      </c>
      <c r="H52" s="624"/>
      <c r="I52" s="624"/>
      <c r="J52" s="625"/>
      <c r="K52" s="626">
        <v>14.8</v>
      </c>
      <c r="L52" s="624"/>
      <c r="M52" s="624"/>
      <c r="N52" s="625"/>
      <c r="O52" s="626">
        <v>13.7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165628</v>
      </c>
      <c r="AA52" s="169">
        <f>AA48+AA49</f>
        <v>125243</v>
      </c>
      <c r="AB52" s="170">
        <f>AB48+AB49</f>
        <v>151179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36</v>
      </c>
      <c r="H53" s="639"/>
      <c r="I53" s="639"/>
      <c r="J53" s="640"/>
      <c r="K53" s="641">
        <v>36.3</v>
      </c>
      <c r="L53" s="639"/>
      <c r="M53" s="639"/>
      <c r="N53" s="640"/>
      <c r="O53" s="641">
        <v>36.6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6808291</v>
      </c>
      <c r="AA53" s="27">
        <v>6738644</v>
      </c>
      <c r="AB53" s="28">
        <v>6708927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38.4</v>
      </c>
      <c r="H54" s="635"/>
      <c r="I54" s="635"/>
      <c r="J54" s="636"/>
      <c r="K54" s="637">
        <v>38.1</v>
      </c>
      <c r="L54" s="635"/>
      <c r="M54" s="635"/>
      <c r="N54" s="636"/>
      <c r="O54" s="637">
        <v>38.5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2598124</v>
      </c>
      <c r="AA54" s="35">
        <v>2706497</v>
      </c>
      <c r="AB54" s="36">
        <v>2841713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996.8</v>
      </c>
      <c r="H55" s="624"/>
      <c r="I55" s="624"/>
      <c r="J55" s="625"/>
      <c r="K55" s="626">
        <v>1289.6</v>
      </c>
      <c r="L55" s="624"/>
      <c r="M55" s="624"/>
      <c r="N55" s="625"/>
      <c r="O55" s="626">
        <v>1116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4210167</v>
      </c>
      <c r="AA55" s="35">
        <v>4032147</v>
      </c>
      <c r="AB55" s="36">
        <v>3867214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93.3</v>
      </c>
      <c r="H56" s="624"/>
      <c r="I56" s="624"/>
      <c r="J56" s="625"/>
      <c r="K56" s="626">
        <v>91.3</v>
      </c>
      <c r="L56" s="624"/>
      <c r="M56" s="624"/>
      <c r="N56" s="625"/>
      <c r="O56" s="626">
        <v>94.2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>
        <v>0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86.6</v>
      </c>
      <c r="H57" s="624"/>
      <c r="I57" s="624"/>
      <c r="J57" s="625"/>
      <c r="K57" s="626">
        <v>84.6</v>
      </c>
      <c r="L57" s="624"/>
      <c r="M57" s="624"/>
      <c r="N57" s="625"/>
      <c r="O57" s="626">
        <v>87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00">
        <v>129755</v>
      </c>
      <c r="AA57" s="179">
        <v>-146039</v>
      </c>
      <c r="AB57" s="180">
        <v>-326855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29.7</v>
      </c>
      <c r="H58" s="624"/>
      <c r="I58" s="624"/>
      <c r="J58" s="625"/>
      <c r="K58" s="626">
        <v>42.2</v>
      </c>
      <c r="L58" s="624"/>
      <c r="M58" s="624"/>
      <c r="N58" s="625"/>
      <c r="O58" s="626">
        <v>49.7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764093</v>
      </c>
      <c r="AA58" s="35">
        <v>764093</v>
      </c>
      <c r="AB58" s="36">
        <v>764093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>
        <v>0</v>
      </c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6540</v>
      </c>
      <c r="AA59" s="35">
        <v>6540</v>
      </c>
      <c r="AB59" s="36">
        <v>6540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8.1</v>
      </c>
      <c r="H60" s="624"/>
      <c r="I60" s="624"/>
      <c r="J60" s="625"/>
      <c r="K60" s="626">
        <v>8.2</v>
      </c>
      <c r="L60" s="624"/>
      <c r="M60" s="624"/>
      <c r="N60" s="625"/>
      <c r="O60" s="626">
        <v>10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-640878</v>
      </c>
      <c r="AA60" s="182">
        <v>-916672</v>
      </c>
      <c r="AB60" s="183">
        <v>-1097488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3.4</v>
      </c>
      <c r="H61" s="624"/>
      <c r="I61" s="624"/>
      <c r="J61" s="625"/>
      <c r="K61" s="626">
        <v>3.3</v>
      </c>
      <c r="L61" s="624"/>
      <c r="M61" s="624"/>
      <c r="N61" s="625"/>
      <c r="O61" s="626">
        <v>3.1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6938046</v>
      </c>
      <c r="AA61" s="169">
        <f>AA53+AA57</f>
        <v>6592605</v>
      </c>
      <c r="AB61" s="170">
        <f>AB53+AB57</f>
        <v>6382072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11.5</v>
      </c>
      <c r="H62" s="624"/>
      <c r="I62" s="624"/>
      <c r="J62" s="625"/>
      <c r="K62" s="626">
        <v>11.5</v>
      </c>
      <c r="L62" s="624"/>
      <c r="M62" s="624"/>
      <c r="N62" s="625"/>
      <c r="O62" s="626">
        <v>13.1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51.3</v>
      </c>
      <c r="H63" s="624"/>
      <c r="I63" s="624"/>
      <c r="J63" s="625"/>
      <c r="K63" s="626">
        <v>53.4</v>
      </c>
      <c r="L63" s="624"/>
      <c r="M63" s="624"/>
      <c r="N63" s="625"/>
      <c r="O63" s="626">
        <v>53.7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21</v>
      </c>
      <c r="H64" s="639"/>
      <c r="I64" s="639"/>
      <c r="J64" s="640"/>
      <c r="K64" s="641">
        <v>20.6</v>
      </c>
      <c r="L64" s="639"/>
      <c r="M64" s="639"/>
      <c r="N64" s="640"/>
      <c r="O64" s="641">
        <v>18.3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439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23468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23468</v>
      </c>
      <c r="H6" s="691"/>
      <c r="I6" s="691"/>
      <c r="J6" s="691"/>
      <c r="K6" s="691"/>
      <c r="L6" s="693" t="s">
        <v>10</v>
      </c>
      <c r="M6" s="693"/>
      <c r="N6" s="693"/>
      <c r="O6" s="184">
        <v>7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18375886</v>
      </c>
      <c r="AA6" s="27">
        <f>AA7+AA14</f>
        <v>19074021</v>
      </c>
      <c r="AB6" s="28">
        <f>AB7+AB14</f>
        <v>19018043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416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18373285</v>
      </c>
      <c r="AA7" s="35">
        <f>AA8+AA12</f>
        <v>19074011</v>
      </c>
      <c r="AB7" s="36">
        <f>AB8+AB12</f>
        <v>19017146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417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16488477</v>
      </c>
      <c r="AA8" s="35">
        <v>17352438</v>
      </c>
      <c r="AB8" s="36">
        <v>17483077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12160126</v>
      </c>
      <c r="AA9" s="35">
        <v>12703094</v>
      </c>
      <c r="AB9" s="36">
        <v>12600261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661</v>
      </c>
      <c r="H10" s="49" t="s">
        <v>181</v>
      </c>
      <c r="I10" s="50">
        <v>661</v>
      </c>
      <c r="J10" s="51" t="s">
        <v>173</v>
      </c>
      <c r="K10" s="52">
        <v>661</v>
      </c>
      <c r="L10" s="53" t="s">
        <v>181</v>
      </c>
      <c r="M10" s="48">
        <v>661</v>
      </c>
      <c r="N10" s="51" t="s">
        <v>173</v>
      </c>
      <c r="O10" s="52">
        <v>661</v>
      </c>
      <c r="P10" s="53" t="s">
        <v>181</v>
      </c>
      <c r="Q10" s="48">
        <v>661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3587284</v>
      </c>
      <c r="AA10" s="35">
        <v>3968032</v>
      </c>
      <c r="AB10" s="36">
        <v>4078080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629</v>
      </c>
      <c r="H11" s="59" t="s">
        <v>181</v>
      </c>
      <c r="I11" s="60">
        <v>629</v>
      </c>
      <c r="J11" s="61" t="s">
        <v>173</v>
      </c>
      <c r="K11" s="62">
        <v>637</v>
      </c>
      <c r="L11" s="63" t="s">
        <v>181</v>
      </c>
      <c r="M11" s="58">
        <v>637</v>
      </c>
      <c r="N11" s="61" t="s">
        <v>173</v>
      </c>
      <c r="O11" s="62">
        <v>637</v>
      </c>
      <c r="P11" s="63" t="s">
        <v>181</v>
      </c>
      <c r="Q11" s="58">
        <v>637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230832</v>
      </c>
      <c r="AA11" s="35">
        <v>173988</v>
      </c>
      <c r="AB11" s="36">
        <v>293953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1884808</v>
      </c>
      <c r="AA12" s="35">
        <v>1721573</v>
      </c>
      <c r="AB12" s="36">
        <v>1534069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>
        <v>26</v>
      </c>
      <c r="H13" s="59" t="s">
        <v>181</v>
      </c>
      <c r="I13" s="60">
        <v>26</v>
      </c>
      <c r="J13" s="64" t="s">
        <v>173</v>
      </c>
      <c r="K13" s="62">
        <v>18</v>
      </c>
      <c r="L13" s="63" t="s">
        <v>181</v>
      </c>
      <c r="M13" s="58">
        <v>18</v>
      </c>
      <c r="N13" s="61" t="s">
        <v>173</v>
      </c>
      <c r="O13" s="62">
        <v>18</v>
      </c>
      <c r="P13" s="63" t="s">
        <v>181</v>
      </c>
      <c r="Q13" s="58">
        <v>18</v>
      </c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1269168</v>
      </c>
      <c r="AA13" s="35">
        <v>1126012</v>
      </c>
      <c r="AB13" s="36">
        <v>890939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2601</v>
      </c>
      <c r="AA14" s="35">
        <v>10</v>
      </c>
      <c r="AB14" s="36">
        <v>897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>
        <v>6</v>
      </c>
      <c r="H15" s="59" t="s">
        <v>181</v>
      </c>
      <c r="I15" s="60">
        <v>6</v>
      </c>
      <c r="J15" s="61" t="s">
        <v>173</v>
      </c>
      <c r="K15" s="62">
        <v>6</v>
      </c>
      <c r="L15" s="63" t="s">
        <v>181</v>
      </c>
      <c r="M15" s="58">
        <v>6</v>
      </c>
      <c r="N15" s="61" t="s">
        <v>173</v>
      </c>
      <c r="O15" s="62">
        <v>6</v>
      </c>
      <c r="P15" s="63" t="s">
        <v>181</v>
      </c>
      <c r="Q15" s="58">
        <v>6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17768313</v>
      </c>
      <c r="AA15" s="35">
        <f>AA16+AA23</f>
        <v>18536245</v>
      </c>
      <c r="AB15" s="36">
        <f>AB16+AB23</f>
        <v>18992666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137</v>
      </c>
      <c r="H16" s="673"/>
      <c r="I16" s="673"/>
      <c r="J16" s="674"/>
      <c r="K16" s="675">
        <v>137</v>
      </c>
      <c r="L16" s="673"/>
      <c r="M16" s="673"/>
      <c r="N16" s="674"/>
      <c r="O16" s="675">
        <v>137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17748786</v>
      </c>
      <c r="AA16" s="35">
        <f>AA17+AA21</f>
        <v>18505677</v>
      </c>
      <c r="AB16" s="36">
        <f>AB17+AB21</f>
        <v>18972076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34</v>
      </c>
      <c r="H17" s="677"/>
      <c r="I17" s="677"/>
      <c r="J17" s="678"/>
      <c r="K17" s="679">
        <v>34</v>
      </c>
      <c r="L17" s="677"/>
      <c r="M17" s="677"/>
      <c r="N17" s="678"/>
      <c r="O17" s="679">
        <v>34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16746119</v>
      </c>
      <c r="AA17" s="35">
        <v>17514161</v>
      </c>
      <c r="AB17" s="36">
        <v>18034284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52379</v>
      </c>
      <c r="H18" s="663"/>
      <c r="I18" s="663"/>
      <c r="J18" s="664"/>
      <c r="K18" s="665">
        <v>52379</v>
      </c>
      <c r="L18" s="663"/>
      <c r="M18" s="663"/>
      <c r="N18" s="664"/>
      <c r="O18" s="665">
        <v>52379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6971435</v>
      </c>
      <c r="AA18" s="35">
        <v>7071150</v>
      </c>
      <c r="AB18" s="36">
        <v>7310703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>
        <v>108</v>
      </c>
      <c r="H19" s="77" t="s">
        <v>181</v>
      </c>
      <c r="I19" s="78">
        <v>105</v>
      </c>
      <c r="J19" s="79" t="s">
        <v>189</v>
      </c>
      <c r="K19" s="80">
        <v>107</v>
      </c>
      <c r="L19" s="77" t="s">
        <v>181</v>
      </c>
      <c r="M19" s="78">
        <v>105</v>
      </c>
      <c r="N19" s="79" t="s">
        <v>189</v>
      </c>
      <c r="O19" s="80">
        <v>110</v>
      </c>
      <c r="P19" s="77" t="s">
        <v>181</v>
      </c>
      <c r="Q19" s="78">
        <v>105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4287815</v>
      </c>
      <c r="AA19" s="35">
        <v>4510953</v>
      </c>
      <c r="AB19" s="36">
        <v>4552228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885</v>
      </c>
      <c r="H20" s="85" t="s">
        <v>181</v>
      </c>
      <c r="I20" s="91">
        <f>G20/G10*100</f>
        <v>133.88804841149772</v>
      </c>
      <c r="J20" s="87" t="s">
        <v>173</v>
      </c>
      <c r="K20" s="88">
        <v>908</v>
      </c>
      <c r="L20" s="89" t="s">
        <v>181</v>
      </c>
      <c r="M20" s="91">
        <f>K20/K10*100</f>
        <v>137.3676248108926</v>
      </c>
      <c r="N20" s="87" t="s">
        <v>173</v>
      </c>
      <c r="O20" s="88">
        <v>934</v>
      </c>
      <c r="P20" s="89" t="s">
        <v>181</v>
      </c>
      <c r="Q20" s="91">
        <f>O20/O10*100</f>
        <v>141.30105900151287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1314729</v>
      </c>
      <c r="AA20" s="35">
        <v>1339564</v>
      </c>
      <c r="AB20" s="36">
        <v>1308320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97</v>
      </c>
      <c r="H21" s="85" t="s">
        <v>181</v>
      </c>
      <c r="I21" s="91">
        <f>G21/G10*100</f>
        <v>14.674735249621785</v>
      </c>
      <c r="J21" s="87" t="s">
        <v>173</v>
      </c>
      <c r="K21" s="88">
        <v>96</v>
      </c>
      <c r="L21" s="89" t="s">
        <v>181</v>
      </c>
      <c r="M21" s="91">
        <f>K21/K10*100</f>
        <v>14.523449319213313</v>
      </c>
      <c r="N21" s="87" t="s">
        <v>173</v>
      </c>
      <c r="O21" s="88">
        <v>94</v>
      </c>
      <c r="P21" s="89" t="s">
        <v>181</v>
      </c>
      <c r="Q21" s="91">
        <f>O21/O10*100</f>
        <v>14.22087745839637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1002667</v>
      </c>
      <c r="AA21" s="35">
        <v>991516</v>
      </c>
      <c r="AB21" s="36">
        <v>937792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566</v>
      </c>
      <c r="H22" s="85" t="s">
        <v>181</v>
      </c>
      <c r="I22" s="91">
        <f>G22/G10*100</f>
        <v>85.62783661119516</v>
      </c>
      <c r="J22" s="87" t="s">
        <v>173</v>
      </c>
      <c r="K22" s="88">
        <v>576</v>
      </c>
      <c r="L22" s="89" t="s">
        <v>181</v>
      </c>
      <c r="M22" s="91">
        <f>K22/K10*100</f>
        <v>87.14069591527988</v>
      </c>
      <c r="N22" s="87" t="s">
        <v>173</v>
      </c>
      <c r="O22" s="88">
        <v>577</v>
      </c>
      <c r="P22" s="89" t="s">
        <v>181</v>
      </c>
      <c r="Q22" s="91">
        <f>O22/O10*100</f>
        <v>87.29198184568835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325354</v>
      </c>
      <c r="AA22" s="35">
        <v>310337</v>
      </c>
      <c r="AB22" s="36">
        <v>295018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56</v>
      </c>
      <c r="H23" s="77" t="s">
        <v>181</v>
      </c>
      <c r="I23" s="96">
        <f>G23/G10*100</f>
        <v>8.472012102874432</v>
      </c>
      <c r="J23" s="97" t="s">
        <v>173</v>
      </c>
      <c r="K23" s="98">
        <v>58</v>
      </c>
      <c r="L23" s="99" t="s">
        <v>181</v>
      </c>
      <c r="M23" s="96">
        <f>K23/K10*100</f>
        <v>8.774583963691377</v>
      </c>
      <c r="N23" s="97" t="s">
        <v>173</v>
      </c>
      <c r="O23" s="98">
        <v>61</v>
      </c>
      <c r="P23" s="99" t="s">
        <v>181</v>
      </c>
      <c r="Q23" s="96">
        <f>O23/O10*100</f>
        <v>9.228441754916792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19527</v>
      </c>
      <c r="AA23" s="35">
        <v>30568</v>
      </c>
      <c r="AB23" s="36">
        <v>20590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G30/(G10*365)*100</f>
        <v>87.03293059498891</v>
      </c>
      <c r="H24" s="696"/>
      <c r="I24" s="696"/>
      <c r="J24" s="697"/>
      <c r="K24" s="698">
        <f>K30/(K10*365)*100</f>
        <v>86.07589165440491</v>
      </c>
      <c r="L24" s="696"/>
      <c r="M24" s="696"/>
      <c r="N24" s="697"/>
      <c r="O24" s="698">
        <f>O30/(O10*365)*100</f>
        <v>83.50320187345865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624499</v>
      </c>
      <c r="AA24" s="101">
        <f>AA7-AA16</f>
        <v>568334</v>
      </c>
      <c r="AB24" s="102">
        <f>AB7-AB16</f>
        <v>45070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86.8</v>
      </c>
      <c r="H25" s="624"/>
      <c r="I25" s="624"/>
      <c r="J25" s="625"/>
      <c r="K25" s="626">
        <v>86.1</v>
      </c>
      <c r="L25" s="624"/>
      <c r="M25" s="624"/>
      <c r="N25" s="625"/>
      <c r="O25" s="626">
        <v>83.5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607573</v>
      </c>
      <c r="AA25" s="107">
        <f>AA6-AA15</f>
        <v>537776</v>
      </c>
      <c r="AB25" s="108">
        <f>AB6-AB15</f>
        <v>25377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87.6</v>
      </c>
      <c r="H26" s="624"/>
      <c r="I26" s="624"/>
      <c r="J26" s="625"/>
      <c r="K26" s="626">
        <v>86.9</v>
      </c>
      <c r="L26" s="624"/>
      <c r="M26" s="624"/>
      <c r="N26" s="625"/>
      <c r="O26" s="626">
        <v>84.3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1648</v>
      </c>
      <c r="AA26" s="27">
        <v>10000</v>
      </c>
      <c r="AB26" s="28">
        <v>1352872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13.5</v>
      </c>
      <c r="H27" s="624"/>
      <c r="I27" s="624"/>
      <c r="J27" s="625"/>
      <c r="K27" s="626">
        <v>12.8</v>
      </c>
      <c r="L27" s="624"/>
      <c r="M27" s="624"/>
      <c r="N27" s="625"/>
      <c r="O27" s="626">
        <v>13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>
        <v>965000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574</v>
      </c>
      <c r="H28" s="648"/>
      <c r="I28" s="648"/>
      <c r="J28" s="649"/>
      <c r="K28" s="650">
        <v>569</v>
      </c>
      <c r="L28" s="648"/>
      <c r="M28" s="648"/>
      <c r="N28" s="649"/>
      <c r="O28" s="650">
        <v>552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/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1178</v>
      </c>
      <c r="H29" s="648"/>
      <c r="I29" s="648"/>
      <c r="J29" s="649"/>
      <c r="K29" s="650">
        <v>1199</v>
      </c>
      <c r="L29" s="648"/>
      <c r="M29" s="648"/>
      <c r="N29" s="649"/>
      <c r="O29" s="650">
        <v>1184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1420665</v>
      </c>
      <c r="AA29" s="35">
        <v>1481318</v>
      </c>
      <c r="AB29" s="36">
        <v>3473628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209980</v>
      </c>
      <c r="H30" s="656"/>
      <c r="I30" s="656"/>
      <c r="J30" s="657"/>
      <c r="K30" s="658">
        <v>207671</v>
      </c>
      <c r="L30" s="656"/>
      <c r="M30" s="656"/>
      <c r="N30" s="657"/>
      <c r="O30" s="658">
        <v>201464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507284</v>
      </c>
      <c r="AA30" s="35">
        <v>545119</v>
      </c>
      <c r="AB30" s="36">
        <v>2506243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287454</v>
      </c>
      <c r="H31" s="656"/>
      <c r="I31" s="656"/>
      <c r="J31" s="657"/>
      <c r="K31" s="658">
        <v>293736</v>
      </c>
      <c r="L31" s="656"/>
      <c r="M31" s="656"/>
      <c r="N31" s="657"/>
      <c r="O31" s="658">
        <v>288851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913381</v>
      </c>
      <c r="AA31" s="35">
        <v>928399</v>
      </c>
      <c r="AB31" s="36">
        <v>943718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136.9</v>
      </c>
      <c r="H32" s="624"/>
      <c r="I32" s="624"/>
      <c r="J32" s="625"/>
      <c r="K32" s="626">
        <v>141.4</v>
      </c>
      <c r="L32" s="624"/>
      <c r="M32" s="624"/>
      <c r="N32" s="625"/>
      <c r="O32" s="626">
        <v>143.4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-1419017</v>
      </c>
      <c r="AA32" s="179">
        <f>AA26-AA29</f>
        <v>-1471318</v>
      </c>
      <c r="AB32" s="180">
        <f>AB26-AB29</f>
        <v>-2120756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17794</v>
      </c>
      <c r="H33" s="656"/>
      <c r="I33" s="656"/>
      <c r="J33" s="657"/>
      <c r="K33" s="658">
        <v>18360</v>
      </c>
      <c r="L33" s="656"/>
      <c r="M33" s="656"/>
      <c r="N33" s="657"/>
      <c r="O33" s="658">
        <v>17857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1419017</v>
      </c>
      <c r="AA33" s="35">
        <v>1471318</v>
      </c>
      <c r="AB33" s="36">
        <v>2120756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6</v>
      </c>
      <c r="H34" s="624"/>
      <c r="I34" s="624"/>
      <c r="J34" s="625"/>
      <c r="K34" s="626">
        <v>5.9</v>
      </c>
      <c r="L34" s="624"/>
      <c r="M34" s="624"/>
      <c r="N34" s="625"/>
      <c r="O34" s="626">
        <v>5.7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8.2</v>
      </c>
      <c r="H35" s="624"/>
      <c r="I35" s="624"/>
      <c r="J35" s="625"/>
      <c r="K35" s="626">
        <v>8.3</v>
      </c>
      <c r="L35" s="624"/>
      <c r="M35" s="624"/>
      <c r="N35" s="625"/>
      <c r="O35" s="626">
        <v>8.2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3987972</v>
      </c>
      <c r="AA35" s="123">
        <v>4573854</v>
      </c>
      <c r="AB35" s="117">
        <v>3887166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447</v>
      </c>
      <c r="H36" s="648"/>
      <c r="I36" s="648"/>
      <c r="J36" s="649"/>
      <c r="K36" s="650">
        <v>471</v>
      </c>
      <c r="L36" s="648"/>
      <c r="M36" s="648"/>
      <c r="N36" s="649"/>
      <c r="O36" s="650">
        <v>476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1500000</v>
      </c>
      <c r="AA36" s="27">
        <v>1300000</v>
      </c>
      <c r="AB36" s="28">
        <v>1184892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115.3</v>
      </c>
      <c r="H37" s="624"/>
      <c r="I37" s="624"/>
      <c r="J37" s="625"/>
      <c r="K37" s="626">
        <v>112.9</v>
      </c>
      <c r="L37" s="624"/>
      <c r="M37" s="624"/>
      <c r="N37" s="625"/>
      <c r="O37" s="626">
        <v>114.4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1387796</v>
      </c>
      <c r="AA37" s="132">
        <v>1192636</v>
      </c>
      <c r="AB37" s="133">
        <v>1170245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57911</v>
      </c>
      <c r="H38" s="648"/>
      <c r="I38" s="648"/>
      <c r="J38" s="649"/>
      <c r="K38" s="650">
        <v>61169</v>
      </c>
      <c r="L38" s="648"/>
      <c r="M38" s="648"/>
      <c r="N38" s="649"/>
      <c r="O38" s="650">
        <v>62543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18015513</v>
      </c>
      <c r="AA38" s="136">
        <v>18827831</v>
      </c>
      <c r="AB38" s="137">
        <v>21317302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12480</v>
      </c>
      <c r="H39" s="648"/>
      <c r="I39" s="648"/>
      <c r="J39" s="649"/>
      <c r="K39" s="650">
        <v>13509</v>
      </c>
      <c r="L39" s="648"/>
      <c r="M39" s="648"/>
      <c r="N39" s="649"/>
      <c r="O39" s="650">
        <v>14118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24722652</v>
      </c>
      <c r="AA39" s="27">
        <v>23484720</v>
      </c>
      <c r="AB39" s="28">
        <v>24422499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33926</v>
      </c>
      <c r="H40" s="648"/>
      <c r="I40" s="648"/>
      <c r="J40" s="649"/>
      <c r="K40" s="650">
        <v>35448</v>
      </c>
      <c r="L40" s="648"/>
      <c r="M40" s="648"/>
      <c r="N40" s="649"/>
      <c r="O40" s="650">
        <v>36371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36827248</v>
      </c>
      <c r="AA40" s="35">
        <v>36347968</v>
      </c>
      <c r="AB40" s="36">
        <v>38229730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1960</v>
      </c>
      <c r="H41" s="648"/>
      <c r="I41" s="648"/>
      <c r="J41" s="649"/>
      <c r="K41" s="650">
        <v>2016</v>
      </c>
      <c r="L41" s="648"/>
      <c r="M41" s="648"/>
      <c r="N41" s="649"/>
      <c r="O41" s="650">
        <v>2209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16180807</v>
      </c>
      <c r="AA41" s="35">
        <v>17022046</v>
      </c>
      <c r="AB41" s="36">
        <v>17860205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35720</v>
      </c>
      <c r="H42" s="648"/>
      <c r="I42" s="648"/>
      <c r="J42" s="649"/>
      <c r="K42" s="650">
        <v>36968</v>
      </c>
      <c r="L42" s="648"/>
      <c r="M42" s="648"/>
      <c r="N42" s="649"/>
      <c r="O42" s="650">
        <v>38736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5107630</v>
      </c>
      <c r="AA42" s="149">
        <v>5527448</v>
      </c>
      <c r="AB42" s="150">
        <v>5939709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14015</v>
      </c>
      <c r="H43" s="648"/>
      <c r="I43" s="648"/>
      <c r="J43" s="649"/>
      <c r="K43" s="650">
        <v>14103</v>
      </c>
      <c r="L43" s="648"/>
      <c r="M43" s="648"/>
      <c r="N43" s="649"/>
      <c r="O43" s="650">
        <v>14910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1872445</v>
      </c>
      <c r="AA43" s="35">
        <v>2171687</v>
      </c>
      <c r="AB43" s="36">
        <v>2061579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1699</v>
      </c>
      <c r="H44" s="648"/>
      <c r="I44" s="648"/>
      <c r="J44" s="649"/>
      <c r="K44" s="650">
        <v>1786</v>
      </c>
      <c r="L44" s="648"/>
      <c r="M44" s="648"/>
      <c r="N44" s="649"/>
      <c r="O44" s="650">
        <v>1930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3108956</v>
      </c>
      <c r="AA44" s="154">
        <v>3239444</v>
      </c>
      <c r="AB44" s="155">
        <v>3738979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1221</v>
      </c>
      <c r="H45" s="648"/>
      <c r="I45" s="648"/>
      <c r="J45" s="649"/>
      <c r="K45" s="650">
        <v>1073</v>
      </c>
      <c r="L45" s="648"/>
      <c r="M45" s="648"/>
      <c r="N45" s="649"/>
      <c r="O45" s="650">
        <v>52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126229</v>
      </c>
      <c r="AA45" s="35">
        <v>110094</v>
      </c>
      <c r="AB45" s="36">
        <v>124903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442</v>
      </c>
      <c r="H46" s="648"/>
      <c r="I46" s="648"/>
      <c r="J46" s="649"/>
      <c r="K46" s="650">
        <v>450</v>
      </c>
      <c r="L46" s="648"/>
      <c r="M46" s="648"/>
      <c r="N46" s="649"/>
      <c r="O46" s="650">
        <v>491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194644</v>
      </c>
      <c r="AA46" s="149">
        <v>106903</v>
      </c>
      <c r="AB46" s="150">
        <v>190695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68779</v>
      </c>
      <c r="H47" s="648"/>
      <c r="I47" s="648"/>
      <c r="J47" s="649"/>
      <c r="K47" s="650">
        <v>72582</v>
      </c>
      <c r="L47" s="648"/>
      <c r="M47" s="648"/>
      <c r="N47" s="649"/>
      <c r="O47" s="650">
        <v>73128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30024926</v>
      </c>
      <c r="AA47" s="136">
        <f>AA39+AA42+AA46</f>
        <v>29119071</v>
      </c>
      <c r="AB47" s="137">
        <f>AB39+AB42+AB46</f>
        <v>30552903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69854</v>
      </c>
      <c r="H48" s="700"/>
      <c r="I48" s="700"/>
      <c r="J48" s="701"/>
      <c r="K48" s="702">
        <v>73258</v>
      </c>
      <c r="L48" s="700"/>
      <c r="M48" s="700"/>
      <c r="N48" s="701"/>
      <c r="O48" s="702">
        <v>75434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39.3</v>
      </c>
      <c r="H49" s="635"/>
      <c r="I49" s="635"/>
      <c r="J49" s="636"/>
      <c r="K49" s="637">
        <v>38.2</v>
      </c>
      <c r="L49" s="635"/>
      <c r="M49" s="635"/>
      <c r="N49" s="636"/>
      <c r="O49" s="637">
        <v>38.5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1119658</v>
      </c>
      <c r="AA49" s="35">
        <v>953594</v>
      </c>
      <c r="AB49" s="36">
        <v>2052543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1.8</v>
      </c>
      <c r="H50" s="624"/>
      <c r="I50" s="624"/>
      <c r="J50" s="625"/>
      <c r="K50" s="626">
        <v>1.7</v>
      </c>
      <c r="L50" s="624"/>
      <c r="M50" s="624"/>
      <c r="N50" s="625"/>
      <c r="O50" s="626">
        <v>1.6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7.4</v>
      </c>
      <c r="H51" s="624"/>
      <c r="I51" s="624"/>
      <c r="J51" s="625"/>
      <c r="K51" s="626">
        <v>7.2</v>
      </c>
      <c r="L51" s="624"/>
      <c r="M51" s="624"/>
      <c r="N51" s="625"/>
      <c r="O51" s="626">
        <v>6.9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1033839</v>
      </c>
      <c r="AA51" s="132">
        <v>863795</v>
      </c>
      <c r="AB51" s="133">
        <v>1960572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24.2</v>
      </c>
      <c r="H52" s="624"/>
      <c r="I52" s="624"/>
      <c r="J52" s="625"/>
      <c r="K52" s="626">
        <v>24.4</v>
      </c>
      <c r="L52" s="624"/>
      <c r="M52" s="624"/>
      <c r="N52" s="625"/>
      <c r="O52" s="626">
        <v>24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1119658</v>
      </c>
      <c r="AA52" s="169">
        <f>AA48+AA49</f>
        <v>953594</v>
      </c>
      <c r="AB52" s="170">
        <f>AB48+AB49</f>
        <v>2052543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27.3</v>
      </c>
      <c r="H53" s="639"/>
      <c r="I53" s="639"/>
      <c r="J53" s="640"/>
      <c r="K53" s="641">
        <v>28.5</v>
      </c>
      <c r="L53" s="639"/>
      <c r="M53" s="639"/>
      <c r="N53" s="640"/>
      <c r="O53" s="641">
        <v>29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23142214</v>
      </c>
      <c r="AA53" s="27">
        <v>22213815</v>
      </c>
      <c r="AB53" s="28">
        <v>22235097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29.4</v>
      </c>
      <c r="H54" s="635"/>
      <c r="I54" s="635"/>
      <c r="J54" s="636"/>
      <c r="K54" s="637">
        <v>31</v>
      </c>
      <c r="L54" s="635"/>
      <c r="M54" s="635"/>
      <c r="N54" s="636"/>
      <c r="O54" s="637">
        <v>30.5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3066668</v>
      </c>
      <c r="AA54" s="35">
        <v>3066668</v>
      </c>
      <c r="AB54" s="36">
        <v>3066668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456.2</v>
      </c>
      <c r="H55" s="624"/>
      <c r="I55" s="624"/>
      <c r="J55" s="625"/>
      <c r="K55" s="626">
        <v>579.6</v>
      </c>
      <c r="L55" s="624"/>
      <c r="M55" s="624"/>
      <c r="N55" s="625"/>
      <c r="O55" s="626">
        <v>289.4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20075546</v>
      </c>
      <c r="AA55" s="35">
        <v>19147147</v>
      </c>
      <c r="AB55" s="36">
        <v>19168429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103.5</v>
      </c>
      <c r="H56" s="624"/>
      <c r="I56" s="624"/>
      <c r="J56" s="625"/>
      <c r="K56" s="626">
        <v>103.1</v>
      </c>
      <c r="L56" s="624"/>
      <c r="M56" s="624"/>
      <c r="N56" s="625"/>
      <c r="O56" s="626">
        <v>100.2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98.5</v>
      </c>
      <c r="H57" s="624"/>
      <c r="I57" s="624"/>
      <c r="J57" s="625"/>
      <c r="K57" s="626">
        <v>99.1</v>
      </c>
      <c r="L57" s="624"/>
      <c r="M57" s="624"/>
      <c r="N57" s="625"/>
      <c r="O57" s="626">
        <v>96.9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5763054</v>
      </c>
      <c r="AA57" s="35">
        <v>5951662</v>
      </c>
      <c r="AB57" s="36">
        <v>6265263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3.7</v>
      </c>
      <c r="H58" s="624"/>
      <c r="I58" s="624"/>
      <c r="J58" s="625"/>
      <c r="K58" s="626">
        <v>3.1</v>
      </c>
      <c r="L58" s="624"/>
      <c r="M58" s="624"/>
      <c r="N58" s="625"/>
      <c r="O58" s="626">
        <v>0.1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4956491</v>
      </c>
      <c r="AA58" s="35">
        <v>4607323</v>
      </c>
      <c r="AB58" s="36">
        <v>4895547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815157</v>
      </c>
      <c r="AA59" s="35">
        <v>806563</v>
      </c>
      <c r="AB59" s="36">
        <v>1344339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5.5</v>
      </c>
      <c r="H60" s="624"/>
      <c r="I60" s="624"/>
      <c r="J60" s="625"/>
      <c r="K60" s="626">
        <v>5.4</v>
      </c>
      <c r="L60" s="624"/>
      <c r="M60" s="624"/>
      <c r="N60" s="625"/>
      <c r="O60" s="626">
        <v>5.4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-8594</v>
      </c>
      <c r="AA60" s="107">
        <v>537776</v>
      </c>
      <c r="AB60" s="108">
        <v>25377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2</v>
      </c>
      <c r="H61" s="624"/>
      <c r="I61" s="624"/>
      <c r="J61" s="625"/>
      <c r="K61" s="626">
        <v>1.8</v>
      </c>
      <c r="L61" s="624"/>
      <c r="M61" s="624"/>
      <c r="N61" s="625"/>
      <c r="O61" s="626">
        <v>1.7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28905268</v>
      </c>
      <c r="AA61" s="169">
        <f>AA53+AA57</f>
        <v>28165477</v>
      </c>
      <c r="AB61" s="170">
        <f>AB53+AB57</f>
        <v>28500360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7.5</v>
      </c>
      <c r="H62" s="624"/>
      <c r="I62" s="624"/>
      <c r="J62" s="625"/>
      <c r="K62" s="626">
        <v>7.1</v>
      </c>
      <c r="L62" s="624"/>
      <c r="M62" s="624"/>
      <c r="N62" s="625"/>
      <c r="O62" s="626">
        <v>7.1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42.3</v>
      </c>
      <c r="H63" s="624"/>
      <c r="I63" s="624"/>
      <c r="J63" s="625"/>
      <c r="K63" s="626">
        <v>40.8</v>
      </c>
      <c r="L63" s="624"/>
      <c r="M63" s="624"/>
      <c r="N63" s="625"/>
      <c r="O63" s="626">
        <v>41.8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25.4</v>
      </c>
      <c r="H64" s="639"/>
      <c r="I64" s="639"/>
      <c r="J64" s="640"/>
      <c r="K64" s="641">
        <v>25.5</v>
      </c>
      <c r="L64" s="639"/>
      <c r="M64" s="639"/>
      <c r="N64" s="640"/>
      <c r="O64" s="641">
        <v>25.5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440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23468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23468</v>
      </c>
      <c r="H6" s="691"/>
      <c r="I6" s="691"/>
      <c r="J6" s="691"/>
      <c r="K6" s="691"/>
      <c r="L6" s="693" t="s">
        <v>10</v>
      </c>
      <c r="M6" s="693"/>
      <c r="N6" s="693"/>
      <c r="O6" s="184">
        <v>7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641396</v>
      </c>
      <c r="AA6" s="27">
        <f>AA7+AA14</f>
        <v>649094</v>
      </c>
      <c r="AB6" s="28">
        <f>AB7+AB14</f>
        <v>641088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418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641396</v>
      </c>
      <c r="AA7" s="35">
        <f>AA8+AA12</f>
        <v>649094</v>
      </c>
      <c r="AB7" s="36">
        <f>AB8+AB12</f>
        <v>641088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419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622822</v>
      </c>
      <c r="AA8" s="35">
        <v>626496</v>
      </c>
      <c r="AB8" s="36">
        <v>615667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339548</v>
      </c>
      <c r="AA9" s="35">
        <v>341704</v>
      </c>
      <c r="AB9" s="36">
        <v>323540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36</v>
      </c>
      <c r="H10" s="49" t="s">
        <v>181</v>
      </c>
      <c r="I10" s="50">
        <v>36</v>
      </c>
      <c r="J10" s="51" t="s">
        <v>173</v>
      </c>
      <c r="K10" s="52">
        <v>36</v>
      </c>
      <c r="L10" s="53" t="s">
        <v>181</v>
      </c>
      <c r="M10" s="48">
        <v>36</v>
      </c>
      <c r="N10" s="51" t="s">
        <v>173</v>
      </c>
      <c r="O10" s="52">
        <v>36</v>
      </c>
      <c r="P10" s="53" t="s">
        <v>181</v>
      </c>
      <c r="Q10" s="48">
        <v>36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257057</v>
      </c>
      <c r="AA10" s="35">
        <v>259067</v>
      </c>
      <c r="AB10" s="36">
        <v>254528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36</v>
      </c>
      <c r="H11" s="59" t="s">
        <v>181</v>
      </c>
      <c r="I11" s="60">
        <v>36</v>
      </c>
      <c r="J11" s="61" t="s">
        <v>173</v>
      </c>
      <c r="K11" s="62">
        <v>36</v>
      </c>
      <c r="L11" s="63" t="s">
        <v>181</v>
      </c>
      <c r="M11" s="58">
        <v>36</v>
      </c>
      <c r="N11" s="61" t="s">
        <v>173</v>
      </c>
      <c r="O11" s="62">
        <v>36</v>
      </c>
      <c r="P11" s="63" t="s">
        <v>181</v>
      </c>
      <c r="Q11" s="58">
        <v>36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/>
      <c r="AA11" s="35"/>
      <c r="AB11" s="36">
        <v>12011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18574</v>
      </c>
      <c r="AA12" s="35">
        <v>22598</v>
      </c>
      <c r="AB12" s="36">
        <v>25421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/>
      <c r="AA13" s="35"/>
      <c r="AB13" s="36">
        <v>3097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633510</v>
      </c>
      <c r="AA15" s="35">
        <f>AA16+AA23</f>
        <v>640235</v>
      </c>
      <c r="AB15" s="36">
        <f>AB16+AB23</f>
        <v>648176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7</v>
      </c>
      <c r="H16" s="673"/>
      <c r="I16" s="673"/>
      <c r="J16" s="674"/>
      <c r="K16" s="675">
        <v>7</v>
      </c>
      <c r="L16" s="673"/>
      <c r="M16" s="673"/>
      <c r="N16" s="674"/>
      <c r="O16" s="675">
        <v>7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632629</v>
      </c>
      <c r="AA16" s="35">
        <f>AA17+AA21</f>
        <v>639435</v>
      </c>
      <c r="AB16" s="36">
        <f>AB17+AB21</f>
        <v>646545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5</v>
      </c>
      <c r="H17" s="677"/>
      <c r="I17" s="677"/>
      <c r="J17" s="678"/>
      <c r="K17" s="679">
        <v>5</v>
      </c>
      <c r="L17" s="677"/>
      <c r="M17" s="677"/>
      <c r="N17" s="678"/>
      <c r="O17" s="679">
        <v>5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622245</v>
      </c>
      <c r="AA17" s="35">
        <v>628982</v>
      </c>
      <c r="AB17" s="36">
        <v>636826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2123</v>
      </c>
      <c r="H18" s="663"/>
      <c r="I18" s="663"/>
      <c r="J18" s="664"/>
      <c r="K18" s="665">
        <v>2123</v>
      </c>
      <c r="L18" s="663"/>
      <c r="M18" s="663"/>
      <c r="N18" s="664"/>
      <c r="O18" s="665">
        <v>2123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298887</v>
      </c>
      <c r="AA18" s="35">
        <v>306890</v>
      </c>
      <c r="AB18" s="36">
        <v>311563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78450</v>
      </c>
      <c r="AA19" s="35">
        <v>76337</v>
      </c>
      <c r="AB19" s="36">
        <v>69163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35</v>
      </c>
      <c r="H20" s="85" t="s">
        <v>181</v>
      </c>
      <c r="I20" s="91">
        <f>G20/G10*100</f>
        <v>97.22222222222221</v>
      </c>
      <c r="J20" s="87" t="s">
        <v>173</v>
      </c>
      <c r="K20" s="88">
        <v>34</v>
      </c>
      <c r="L20" s="89" t="s">
        <v>181</v>
      </c>
      <c r="M20" s="91">
        <f>K20/K10*100</f>
        <v>94.44444444444444</v>
      </c>
      <c r="N20" s="87" t="s">
        <v>173</v>
      </c>
      <c r="O20" s="88">
        <v>35</v>
      </c>
      <c r="P20" s="89" t="s">
        <v>181</v>
      </c>
      <c r="Q20" s="91">
        <f>O20/O10*100</f>
        <v>97.22222222222221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25879</v>
      </c>
      <c r="AA20" s="35">
        <v>25195</v>
      </c>
      <c r="AB20" s="36">
        <v>26492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4</v>
      </c>
      <c r="H21" s="85" t="s">
        <v>181</v>
      </c>
      <c r="I21" s="91">
        <f>G21/G10*100</f>
        <v>11.11111111111111</v>
      </c>
      <c r="J21" s="87" t="s">
        <v>173</v>
      </c>
      <c r="K21" s="88">
        <v>4</v>
      </c>
      <c r="L21" s="89" t="s">
        <v>181</v>
      </c>
      <c r="M21" s="91">
        <f>K21/K10*100</f>
        <v>11.11111111111111</v>
      </c>
      <c r="N21" s="87" t="s">
        <v>173</v>
      </c>
      <c r="O21" s="88">
        <v>4</v>
      </c>
      <c r="P21" s="89" t="s">
        <v>181</v>
      </c>
      <c r="Q21" s="91">
        <f>O21/O10*100</f>
        <v>11.11111111111111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10384</v>
      </c>
      <c r="AA21" s="35">
        <v>10453</v>
      </c>
      <c r="AB21" s="36">
        <v>9719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22</v>
      </c>
      <c r="H22" s="85" t="s">
        <v>181</v>
      </c>
      <c r="I22" s="91">
        <f>G22/G10*100</f>
        <v>61.111111111111114</v>
      </c>
      <c r="J22" s="87" t="s">
        <v>173</v>
      </c>
      <c r="K22" s="88">
        <v>21</v>
      </c>
      <c r="L22" s="89" t="s">
        <v>181</v>
      </c>
      <c r="M22" s="91">
        <f>K22/K10*100</f>
        <v>58.333333333333336</v>
      </c>
      <c r="N22" s="87" t="s">
        <v>173</v>
      </c>
      <c r="O22" s="88">
        <v>21</v>
      </c>
      <c r="P22" s="89" t="s">
        <v>181</v>
      </c>
      <c r="Q22" s="91">
        <f>O22/O10*100</f>
        <v>58.333333333333336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/>
      <c r="AA22" s="35"/>
      <c r="AB22" s="36"/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2</v>
      </c>
      <c r="H23" s="77" t="s">
        <v>181</v>
      </c>
      <c r="I23" s="96">
        <f>G23/G10*100</f>
        <v>5.555555555555555</v>
      </c>
      <c r="J23" s="97" t="s">
        <v>173</v>
      </c>
      <c r="K23" s="98">
        <v>2</v>
      </c>
      <c r="L23" s="99" t="s">
        <v>181</v>
      </c>
      <c r="M23" s="96">
        <f>K23/K10*100</f>
        <v>5.555555555555555</v>
      </c>
      <c r="N23" s="97" t="s">
        <v>173</v>
      </c>
      <c r="O23" s="98">
        <v>2</v>
      </c>
      <c r="P23" s="99" t="s">
        <v>181</v>
      </c>
      <c r="Q23" s="96">
        <f>O23/O10*100</f>
        <v>5.555555555555555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881</v>
      </c>
      <c r="AA23" s="35">
        <v>800</v>
      </c>
      <c r="AB23" s="36">
        <v>1631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G30/(G10*365)*100</f>
        <v>89.96955859969559</v>
      </c>
      <c r="H24" s="696"/>
      <c r="I24" s="696"/>
      <c r="J24" s="697"/>
      <c r="K24" s="698">
        <f>K30/(K10*365)*100</f>
        <v>90.82952815829528</v>
      </c>
      <c r="L24" s="696"/>
      <c r="M24" s="696"/>
      <c r="N24" s="697"/>
      <c r="O24" s="698">
        <f>O30/(O10*365)*100</f>
        <v>86.61339421613394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8767</v>
      </c>
      <c r="AA24" s="101">
        <f>AA7-AA16</f>
        <v>9659</v>
      </c>
      <c r="AB24" s="180">
        <f>AB7-AB16</f>
        <v>-5457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89.7</v>
      </c>
      <c r="H25" s="624"/>
      <c r="I25" s="624"/>
      <c r="J25" s="625"/>
      <c r="K25" s="626">
        <v>90.8</v>
      </c>
      <c r="L25" s="624"/>
      <c r="M25" s="624"/>
      <c r="N25" s="625"/>
      <c r="O25" s="626">
        <v>86.6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7886</v>
      </c>
      <c r="AA25" s="107">
        <f>AA6-AA15</f>
        <v>8859</v>
      </c>
      <c r="AB25" s="183">
        <f>AB6-AB15</f>
        <v>-7088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89.7</v>
      </c>
      <c r="H26" s="624"/>
      <c r="I26" s="624"/>
      <c r="J26" s="625"/>
      <c r="K26" s="626">
        <v>90.8</v>
      </c>
      <c r="L26" s="624"/>
      <c r="M26" s="624"/>
      <c r="N26" s="625"/>
      <c r="O26" s="626">
        <v>86.6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/>
      <c r="AA26" s="27"/>
      <c r="AB26" s="28">
        <v>4340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17.3</v>
      </c>
      <c r="H27" s="624"/>
      <c r="I27" s="624"/>
      <c r="J27" s="625"/>
      <c r="K27" s="626">
        <v>16.9</v>
      </c>
      <c r="L27" s="624"/>
      <c r="M27" s="624"/>
      <c r="N27" s="625"/>
      <c r="O27" s="626">
        <v>17.9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32</v>
      </c>
      <c r="H28" s="648"/>
      <c r="I28" s="648"/>
      <c r="J28" s="649"/>
      <c r="K28" s="650">
        <v>33</v>
      </c>
      <c r="L28" s="648"/>
      <c r="M28" s="648"/>
      <c r="N28" s="649"/>
      <c r="O28" s="650">
        <v>31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/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209</v>
      </c>
      <c r="H29" s="648"/>
      <c r="I29" s="648"/>
      <c r="J29" s="649"/>
      <c r="K29" s="650">
        <v>203</v>
      </c>
      <c r="L29" s="648"/>
      <c r="M29" s="648"/>
      <c r="N29" s="649"/>
      <c r="O29" s="650">
        <v>194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35911</v>
      </c>
      <c r="AA29" s="35">
        <v>11446</v>
      </c>
      <c r="AB29" s="36">
        <v>35407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11822</v>
      </c>
      <c r="H30" s="656"/>
      <c r="I30" s="656"/>
      <c r="J30" s="657"/>
      <c r="K30" s="658">
        <v>11935</v>
      </c>
      <c r="L30" s="656"/>
      <c r="M30" s="656"/>
      <c r="N30" s="657"/>
      <c r="O30" s="658">
        <v>11381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35911</v>
      </c>
      <c r="AA30" s="35">
        <v>11446</v>
      </c>
      <c r="AB30" s="36">
        <v>35407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50875</v>
      </c>
      <c r="H31" s="656"/>
      <c r="I31" s="656"/>
      <c r="J31" s="657"/>
      <c r="K31" s="658">
        <v>49665</v>
      </c>
      <c r="L31" s="656"/>
      <c r="M31" s="656"/>
      <c r="N31" s="657"/>
      <c r="O31" s="658">
        <v>47221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/>
      <c r="AA31" s="35"/>
      <c r="AB31" s="36"/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430.3</v>
      </c>
      <c r="H32" s="624"/>
      <c r="I32" s="624"/>
      <c r="J32" s="625"/>
      <c r="K32" s="626">
        <v>416.1</v>
      </c>
      <c r="L32" s="624"/>
      <c r="M32" s="624"/>
      <c r="N32" s="625"/>
      <c r="O32" s="626">
        <v>414.9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-35911</v>
      </c>
      <c r="AA32" s="179">
        <f>AA26-AA29</f>
        <v>-11446</v>
      </c>
      <c r="AB32" s="180">
        <f>AB26-AB29</f>
        <v>-31067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17046</v>
      </c>
      <c r="H33" s="656"/>
      <c r="I33" s="656"/>
      <c r="J33" s="657"/>
      <c r="K33" s="658">
        <v>17670</v>
      </c>
      <c r="L33" s="656"/>
      <c r="M33" s="656"/>
      <c r="N33" s="657"/>
      <c r="O33" s="658">
        <v>16516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35911</v>
      </c>
      <c r="AA33" s="35">
        <v>11446</v>
      </c>
      <c r="AB33" s="36">
        <v>31067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8.1</v>
      </c>
      <c r="H34" s="624"/>
      <c r="I34" s="624"/>
      <c r="J34" s="625"/>
      <c r="K34" s="626">
        <v>7.1</v>
      </c>
      <c r="L34" s="624"/>
      <c r="M34" s="624"/>
      <c r="N34" s="625"/>
      <c r="O34" s="626">
        <v>7.8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34.8</v>
      </c>
      <c r="H35" s="624"/>
      <c r="I35" s="624"/>
      <c r="J35" s="625"/>
      <c r="K35" s="626">
        <v>29.7</v>
      </c>
      <c r="L35" s="624"/>
      <c r="M35" s="624"/>
      <c r="N35" s="625"/>
      <c r="O35" s="626">
        <v>32.3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522735</v>
      </c>
      <c r="AA35" s="123">
        <v>548631</v>
      </c>
      <c r="AB35" s="117">
        <v>542499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408</v>
      </c>
      <c r="H36" s="648"/>
      <c r="I36" s="648"/>
      <c r="J36" s="649"/>
      <c r="K36" s="650">
        <v>359</v>
      </c>
      <c r="L36" s="648"/>
      <c r="M36" s="648"/>
      <c r="N36" s="649"/>
      <c r="O36" s="650">
        <v>396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/>
      <c r="AA36" s="27"/>
      <c r="AB36" s="28">
        <v>15108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122.6</v>
      </c>
      <c r="H37" s="624"/>
      <c r="I37" s="624"/>
      <c r="J37" s="625"/>
      <c r="K37" s="626">
        <v>119.6</v>
      </c>
      <c r="L37" s="624"/>
      <c r="M37" s="624"/>
      <c r="N37" s="625"/>
      <c r="O37" s="626">
        <v>109.9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/>
      <c r="AA37" s="132"/>
      <c r="AB37" s="133">
        <v>15108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28722</v>
      </c>
      <c r="H38" s="648"/>
      <c r="I38" s="648"/>
      <c r="J38" s="649"/>
      <c r="K38" s="650">
        <v>28630</v>
      </c>
      <c r="L38" s="648"/>
      <c r="M38" s="648"/>
      <c r="N38" s="649"/>
      <c r="O38" s="650">
        <v>28428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643542</v>
      </c>
      <c r="AA38" s="136">
        <v>626486</v>
      </c>
      <c r="AB38" s="137">
        <v>657091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5053</v>
      </c>
      <c r="H39" s="648"/>
      <c r="I39" s="648"/>
      <c r="J39" s="649"/>
      <c r="K39" s="650">
        <v>5216</v>
      </c>
      <c r="L39" s="648"/>
      <c r="M39" s="648"/>
      <c r="N39" s="649"/>
      <c r="O39" s="650">
        <v>5390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323664</v>
      </c>
      <c r="AA39" s="27">
        <v>301747</v>
      </c>
      <c r="AB39" s="28">
        <v>304299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10230</v>
      </c>
      <c r="H40" s="648"/>
      <c r="I40" s="648"/>
      <c r="J40" s="649"/>
      <c r="K40" s="650">
        <v>10537</v>
      </c>
      <c r="L40" s="648"/>
      <c r="M40" s="648"/>
      <c r="N40" s="649"/>
      <c r="O40" s="650">
        <v>10682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1073722</v>
      </c>
      <c r="AA40" s="35">
        <v>1059012</v>
      </c>
      <c r="AB40" s="36">
        <v>1047578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610</v>
      </c>
      <c r="H41" s="648"/>
      <c r="I41" s="648"/>
      <c r="J41" s="649"/>
      <c r="K41" s="650">
        <v>608</v>
      </c>
      <c r="L41" s="648"/>
      <c r="M41" s="648"/>
      <c r="N41" s="649"/>
      <c r="O41" s="650">
        <v>572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785884</v>
      </c>
      <c r="AA41" s="35">
        <v>791731</v>
      </c>
      <c r="AB41" s="36">
        <v>776385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10104</v>
      </c>
      <c r="H42" s="648"/>
      <c r="I42" s="648"/>
      <c r="J42" s="649"/>
      <c r="K42" s="650">
        <v>10393</v>
      </c>
      <c r="L42" s="648"/>
      <c r="M42" s="648"/>
      <c r="N42" s="649"/>
      <c r="O42" s="650">
        <v>11061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538359</v>
      </c>
      <c r="AA42" s="149">
        <v>564403</v>
      </c>
      <c r="AB42" s="150">
        <v>561371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4767</v>
      </c>
      <c r="H43" s="648"/>
      <c r="I43" s="648"/>
      <c r="J43" s="649"/>
      <c r="K43" s="650">
        <v>4982</v>
      </c>
      <c r="L43" s="648"/>
      <c r="M43" s="648"/>
      <c r="N43" s="649"/>
      <c r="O43" s="650">
        <v>5317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439738</v>
      </c>
      <c r="AA43" s="35">
        <v>471469</v>
      </c>
      <c r="AB43" s="36">
        <v>465357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498</v>
      </c>
      <c r="H44" s="648"/>
      <c r="I44" s="648"/>
      <c r="J44" s="649"/>
      <c r="K44" s="650">
        <v>508</v>
      </c>
      <c r="L44" s="648"/>
      <c r="M44" s="648"/>
      <c r="N44" s="649"/>
      <c r="O44" s="650">
        <v>520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96039</v>
      </c>
      <c r="AA44" s="154">
        <v>90565</v>
      </c>
      <c r="AB44" s="155">
        <v>93106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126</v>
      </c>
      <c r="H45" s="648"/>
      <c r="I45" s="648"/>
      <c r="J45" s="649"/>
      <c r="K45" s="650">
        <v>144</v>
      </c>
      <c r="L45" s="648"/>
      <c r="M45" s="648"/>
      <c r="N45" s="649"/>
      <c r="O45" s="652">
        <v>-121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>
        <v>2582</v>
      </c>
      <c r="AA45" s="35">
        <v>2309</v>
      </c>
      <c r="AB45" s="36">
        <v>2402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612</v>
      </c>
      <c r="H46" s="648"/>
      <c r="I46" s="648"/>
      <c r="J46" s="649"/>
      <c r="K46" s="650">
        <v>576</v>
      </c>
      <c r="L46" s="648"/>
      <c r="M46" s="648"/>
      <c r="N46" s="649"/>
      <c r="O46" s="650">
        <v>650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3883</v>
      </c>
      <c r="AA46" s="149">
        <v>3138</v>
      </c>
      <c r="AB46" s="150">
        <v>3790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47269</v>
      </c>
      <c r="H47" s="648"/>
      <c r="I47" s="648"/>
      <c r="J47" s="649"/>
      <c r="K47" s="650">
        <v>47679</v>
      </c>
      <c r="L47" s="648"/>
      <c r="M47" s="648"/>
      <c r="N47" s="649"/>
      <c r="O47" s="650">
        <v>46854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865906</v>
      </c>
      <c r="AA47" s="136">
        <f>AA39+AA42+AA46</f>
        <v>869288</v>
      </c>
      <c r="AB47" s="137">
        <f>AB39+AB42+AB46</f>
        <v>869460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47226</v>
      </c>
      <c r="H48" s="700"/>
      <c r="I48" s="700"/>
      <c r="J48" s="701"/>
      <c r="K48" s="702">
        <v>47868</v>
      </c>
      <c r="L48" s="700"/>
      <c r="M48" s="700"/>
      <c r="N48" s="701"/>
      <c r="O48" s="702">
        <v>48465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/>
      <c r="AA48" s="27"/>
      <c r="AB48" s="28"/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47.2</v>
      </c>
      <c r="H49" s="635"/>
      <c r="I49" s="635"/>
      <c r="J49" s="636"/>
      <c r="K49" s="637">
        <v>48</v>
      </c>
      <c r="L49" s="635"/>
      <c r="M49" s="635"/>
      <c r="N49" s="636"/>
      <c r="O49" s="637">
        <v>48.2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15624</v>
      </c>
      <c r="AA49" s="35">
        <v>15772</v>
      </c>
      <c r="AB49" s="36">
        <v>18872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/>
      <c r="H50" s="624"/>
      <c r="I50" s="624"/>
      <c r="J50" s="625"/>
      <c r="K50" s="626"/>
      <c r="L50" s="624"/>
      <c r="M50" s="624"/>
      <c r="N50" s="625"/>
      <c r="O50" s="626"/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4.1</v>
      </c>
      <c r="H51" s="624"/>
      <c r="I51" s="624"/>
      <c r="J51" s="625"/>
      <c r="K51" s="626">
        <v>3.9</v>
      </c>
      <c r="L51" s="624"/>
      <c r="M51" s="624"/>
      <c r="N51" s="625"/>
      <c r="O51" s="626">
        <v>4.1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15624</v>
      </c>
      <c r="AA51" s="132">
        <v>15772</v>
      </c>
      <c r="AB51" s="133">
        <v>18872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12.4</v>
      </c>
      <c r="H52" s="624"/>
      <c r="I52" s="624"/>
      <c r="J52" s="625"/>
      <c r="K52" s="626">
        <v>11.9</v>
      </c>
      <c r="L52" s="624"/>
      <c r="M52" s="624"/>
      <c r="N52" s="625"/>
      <c r="O52" s="626">
        <v>10.7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15624</v>
      </c>
      <c r="AA52" s="169">
        <f>AA48+AA49</f>
        <v>15772</v>
      </c>
      <c r="AB52" s="170">
        <f>AB48+AB49</f>
        <v>18872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36.3</v>
      </c>
      <c r="H53" s="639"/>
      <c r="I53" s="639"/>
      <c r="J53" s="640"/>
      <c r="K53" s="641">
        <v>36.2</v>
      </c>
      <c r="L53" s="639"/>
      <c r="M53" s="639"/>
      <c r="N53" s="640"/>
      <c r="O53" s="641">
        <v>37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99440</v>
      </c>
      <c r="AA53" s="27">
        <v>99440</v>
      </c>
      <c r="AB53" s="28">
        <v>99440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98.2</v>
      </c>
      <c r="H54" s="635"/>
      <c r="I54" s="635"/>
      <c r="J54" s="636"/>
      <c r="K54" s="637">
        <v>98.2</v>
      </c>
      <c r="L54" s="635"/>
      <c r="M54" s="635"/>
      <c r="N54" s="636"/>
      <c r="O54" s="637">
        <v>97.8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99440</v>
      </c>
      <c r="AA54" s="35">
        <v>99440</v>
      </c>
      <c r="AB54" s="36">
        <v>99440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3445.7</v>
      </c>
      <c r="H55" s="624"/>
      <c r="I55" s="624"/>
      <c r="J55" s="625"/>
      <c r="K55" s="626">
        <v>3578.5</v>
      </c>
      <c r="L55" s="624"/>
      <c r="M55" s="624"/>
      <c r="N55" s="625"/>
      <c r="O55" s="626">
        <v>2974.6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/>
      <c r="AA55" s="35"/>
      <c r="AB55" s="36"/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101.4</v>
      </c>
      <c r="H56" s="624"/>
      <c r="I56" s="624"/>
      <c r="J56" s="625"/>
      <c r="K56" s="626">
        <v>101.5</v>
      </c>
      <c r="L56" s="624"/>
      <c r="M56" s="624"/>
      <c r="N56" s="625"/>
      <c r="O56" s="626">
        <v>99.2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100.1</v>
      </c>
      <c r="H57" s="624"/>
      <c r="I57" s="624"/>
      <c r="J57" s="625"/>
      <c r="K57" s="626">
        <v>99.6</v>
      </c>
      <c r="L57" s="624"/>
      <c r="M57" s="624"/>
      <c r="N57" s="625"/>
      <c r="O57" s="626">
        <v>96.7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750842</v>
      </c>
      <c r="AA57" s="35">
        <v>754076</v>
      </c>
      <c r="AB57" s="36">
        <v>751148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1.3</v>
      </c>
      <c r="H58" s="624"/>
      <c r="I58" s="624"/>
      <c r="J58" s="625"/>
      <c r="K58" s="626">
        <v>1.4</v>
      </c>
      <c r="L58" s="624"/>
      <c r="M58" s="624"/>
      <c r="N58" s="625"/>
      <c r="O58" s="880">
        <v>-1.2</v>
      </c>
      <c r="P58" s="881"/>
      <c r="Q58" s="881"/>
      <c r="R58" s="882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45081</v>
      </c>
      <c r="AA58" s="35">
        <v>39456</v>
      </c>
      <c r="AB58" s="36">
        <v>43616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81708</v>
      </c>
      <c r="AA59" s="35">
        <v>705761</v>
      </c>
      <c r="AB59" s="36">
        <v>714620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/>
      <c r="H60" s="624"/>
      <c r="I60" s="624"/>
      <c r="J60" s="625"/>
      <c r="K60" s="626"/>
      <c r="L60" s="624"/>
      <c r="M60" s="624"/>
      <c r="N60" s="625"/>
      <c r="O60" s="626"/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>
        <v>624053</v>
      </c>
      <c r="AA60" s="107">
        <v>8859</v>
      </c>
      <c r="AB60" s="183">
        <v>-7088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/>
      <c r="H61" s="624"/>
      <c r="I61" s="624"/>
      <c r="J61" s="625"/>
      <c r="K61" s="626"/>
      <c r="L61" s="624"/>
      <c r="M61" s="624"/>
      <c r="N61" s="625"/>
      <c r="O61" s="626"/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850282</v>
      </c>
      <c r="AA61" s="169">
        <f>AA53+AA57</f>
        <v>853516</v>
      </c>
      <c r="AB61" s="170">
        <f>AB53+AB57</f>
        <v>850588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/>
      <c r="H62" s="624"/>
      <c r="I62" s="624"/>
      <c r="J62" s="625"/>
      <c r="K62" s="626"/>
      <c r="L62" s="624"/>
      <c r="M62" s="624"/>
      <c r="N62" s="625"/>
      <c r="O62" s="626"/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48</v>
      </c>
      <c r="H63" s="624"/>
      <c r="I63" s="624"/>
      <c r="J63" s="625"/>
      <c r="K63" s="626">
        <v>49</v>
      </c>
      <c r="L63" s="624"/>
      <c r="M63" s="624"/>
      <c r="N63" s="625"/>
      <c r="O63" s="626">
        <v>50.6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11.4</v>
      </c>
      <c r="H64" s="639"/>
      <c r="I64" s="639"/>
      <c r="J64" s="640"/>
      <c r="K64" s="641">
        <v>11.1</v>
      </c>
      <c r="L64" s="639"/>
      <c r="M64" s="639"/>
      <c r="N64" s="640"/>
      <c r="O64" s="641">
        <v>10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5" sqref="A5"/>
    </sheetView>
  </sheetViews>
  <sheetFormatPr defaultColWidth="9.00390625" defaultRowHeight="13.5"/>
  <cols>
    <col min="1" max="1" width="4.625" style="492" customWidth="1"/>
    <col min="2" max="2" width="4.50390625" style="492" customWidth="1"/>
    <col min="3" max="3" width="16.25390625" style="492" customWidth="1"/>
    <col min="4" max="4" width="5.75390625" style="492" customWidth="1"/>
    <col min="5" max="5" width="7.25390625" style="492" customWidth="1"/>
    <col min="6" max="6" width="6.25390625" style="493" customWidth="1"/>
    <col min="7" max="7" width="7.25390625" style="493" customWidth="1"/>
    <col min="8" max="8" width="1.875" style="493" customWidth="1"/>
    <col min="9" max="9" width="6.625" style="492" customWidth="1"/>
    <col min="10" max="10" width="2.25390625" style="492" customWidth="1"/>
    <col min="11" max="11" width="7.25390625" style="492" customWidth="1"/>
    <col min="12" max="12" width="1.75390625" style="492" customWidth="1"/>
    <col min="13" max="13" width="6.625" style="492" customWidth="1"/>
    <col min="14" max="14" width="2.125" style="492" customWidth="1"/>
    <col min="15" max="15" width="7.25390625" style="492" customWidth="1"/>
    <col min="16" max="16" width="2.25390625" style="492" customWidth="1"/>
    <col min="17" max="17" width="6.625" style="492" customWidth="1"/>
    <col min="18" max="19" width="1.875" style="492" customWidth="1"/>
    <col min="20" max="23" width="4.625" style="492" customWidth="1"/>
    <col min="24" max="24" width="21.625" style="492" customWidth="1"/>
    <col min="25" max="25" width="5.00390625" style="492" customWidth="1"/>
    <col min="26" max="28" width="18.50390625" style="492" customWidth="1"/>
    <col min="29" max="16384" width="9.00390625" style="492" customWidth="1"/>
  </cols>
  <sheetData>
    <row r="2" spans="18:28" ht="28.5" customHeight="1">
      <c r="R2" s="494" t="s">
        <v>0</v>
      </c>
      <c r="S2" s="495"/>
      <c r="AB2" s="496"/>
    </row>
    <row r="3" spans="18:28" ht="28.5" customHeight="1">
      <c r="R3" s="495"/>
      <c r="S3" s="495"/>
      <c r="AB3" s="496"/>
    </row>
    <row r="4" spans="1:28" ht="33.75" customHeight="1" thickBot="1">
      <c r="A4" s="863" t="s">
        <v>441</v>
      </c>
      <c r="B4" s="863"/>
      <c r="C4" s="863"/>
      <c r="D4" s="863"/>
      <c r="E4" s="863"/>
      <c r="F4" s="863"/>
      <c r="G4" s="863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8" t="s">
        <v>2</v>
      </c>
    </row>
    <row r="5" spans="1:28" s="498" customFormat="1" ht="29.25" customHeight="1" thickBot="1">
      <c r="A5" s="499" t="s">
        <v>3</v>
      </c>
      <c r="B5" s="500"/>
      <c r="C5" s="500"/>
      <c r="D5" s="500"/>
      <c r="E5" s="500"/>
      <c r="F5" s="501"/>
      <c r="G5" s="713">
        <v>32234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502"/>
      <c r="T5" s="503" t="s">
        <v>4</v>
      </c>
      <c r="U5" s="500"/>
      <c r="V5" s="500"/>
      <c r="W5" s="500"/>
      <c r="X5" s="500"/>
      <c r="Y5" s="504" t="s">
        <v>5</v>
      </c>
      <c r="Z5" s="505" t="s">
        <v>6</v>
      </c>
      <c r="AA5" s="506" t="s">
        <v>7</v>
      </c>
      <c r="AB5" s="507" t="s">
        <v>8</v>
      </c>
    </row>
    <row r="6" spans="1:28" s="498" customFormat="1" ht="29.25" customHeight="1" thickBot="1">
      <c r="A6" s="499" t="s">
        <v>9</v>
      </c>
      <c r="B6" s="500"/>
      <c r="C6" s="500"/>
      <c r="D6" s="500"/>
      <c r="E6" s="500"/>
      <c r="F6" s="501"/>
      <c r="G6" s="713"/>
      <c r="H6" s="713"/>
      <c r="I6" s="713"/>
      <c r="J6" s="713"/>
      <c r="K6" s="713"/>
      <c r="L6" s="715" t="s">
        <v>10</v>
      </c>
      <c r="M6" s="715"/>
      <c r="N6" s="715"/>
      <c r="O6" s="186">
        <v>7</v>
      </c>
      <c r="P6" s="187" t="s">
        <v>172</v>
      </c>
      <c r="Q6" s="188">
        <v>1</v>
      </c>
      <c r="R6" s="189" t="s">
        <v>173</v>
      </c>
      <c r="S6" s="508"/>
      <c r="T6" s="890" t="s">
        <v>13</v>
      </c>
      <c r="U6" s="509" t="s">
        <v>14</v>
      </c>
      <c r="V6" s="510"/>
      <c r="W6" s="510"/>
      <c r="X6" s="511"/>
      <c r="Y6" s="462" t="s">
        <v>174</v>
      </c>
      <c r="Z6" s="408">
        <f>Z7+Z14</f>
        <v>3549237</v>
      </c>
      <c r="AA6" s="460">
        <f>AA7+AA14</f>
        <v>3560777</v>
      </c>
      <c r="AB6" s="460">
        <f>AB7+AB14</f>
        <v>3327725</v>
      </c>
    </row>
    <row r="7" spans="1:28" s="498" customFormat="1" ht="29.25" customHeight="1" thickBot="1">
      <c r="A7" s="499" t="s">
        <v>16</v>
      </c>
      <c r="B7" s="500"/>
      <c r="C7" s="500"/>
      <c r="D7" s="500"/>
      <c r="E7" s="500"/>
      <c r="F7" s="512"/>
      <c r="G7" s="716" t="s">
        <v>420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513"/>
      <c r="T7" s="891"/>
      <c r="U7" s="921" t="s">
        <v>176</v>
      </c>
      <c r="V7" s="514" t="s">
        <v>19</v>
      </c>
      <c r="W7" s="514"/>
      <c r="X7" s="515"/>
      <c r="Y7" s="463" t="s">
        <v>177</v>
      </c>
      <c r="Z7" s="410">
        <f>Z8+Z12</f>
        <v>3549237</v>
      </c>
      <c r="AA7" s="461">
        <f>AA8+AA12</f>
        <v>3560777</v>
      </c>
      <c r="AB7" s="461">
        <f>AB8+AB12</f>
        <v>3327725</v>
      </c>
    </row>
    <row r="8" spans="1:28" s="523" customFormat="1" ht="39" customHeight="1" thickBot="1">
      <c r="A8" s="516" t="s">
        <v>21</v>
      </c>
      <c r="B8" s="517"/>
      <c r="C8" s="517"/>
      <c r="D8" s="517"/>
      <c r="E8" s="517"/>
      <c r="F8" s="518"/>
      <c r="G8" s="844" t="s">
        <v>421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6"/>
      <c r="S8" s="519"/>
      <c r="T8" s="891"/>
      <c r="U8" s="919"/>
      <c r="V8" s="905" t="s">
        <v>176</v>
      </c>
      <c r="W8" s="520" t="s">
        <v>23</v>
      </c>
      <c r="X8" s="521"/>
      <c r="Y8" s="522" t="s">
        <v>179</v>
      </c>
      <c r="Z8" s="410">
        <v>2923676</v>
      </c>
      <c r="AA8" s="461">
        <v>2922739</v>
      </c>
      <c r="AB8" s="461">
        <v>2711443</v>
      </c>
    </row>
    <row r="9" spans="1:28" s="523" customFormat="1" ht="29.25" customHeight="1" thickBot="1">
      <c r="A9" s="503" t="s">
        <v>4</v>
      </c>
      <c r="B9" s="500"/>
      <c r="C9" s="500"/>
      <c r="D9" s="500"/>
      <c r="E9" s="500"/>
      <c r="F9" s="504" t="s">
        <v>5</v>
      </c>
      <c r="G9" s="922" t="s">
        <v>6</v>
      </c>
      <c r="H9" s="923"/>
      <c r="I9" s="923"/>
      <c r="J9" s="924"/>
      <c r="K9" s="925" t="s">
        <v>7</v>
      </c>
      <c r="L9" s="926"/>
      <c r="M9" s="926"/>
      <c r="N9" s="927"/>
      <c r="O9" s="925" t="s">
        <v>8</v>
      </c>
      <c r="P9" s="926"/>
      <c r="Q9" s="926"/>
      <c r="R9" s="927"/>
      <c r="S9" s="513"/>
      <c r="T9" s="891"/>
      <c r="U9" s="919"/>
      <c r="V9" s="911"/>
      <c r="W9" s="918" t="s">
        <v>180</v>
      </c>
      <c r="X9" s="521" t="s">
        <v>26</v>
      </c>
      <c r="Y9" s="522"/>
      <c r="Z9" s="410">
        <v>1923326</v>
      </c>
      <c r="AA9" s="461">
        <v>1853349</v>
      </c>
      <c r="AB9" s="461">
        <v>1687688</v>
      </c>
    </row>
    <row r="10" spans="1:28" s="523" customFormat="1" ht="29.25" customHeight="1">
      <c r="A10" s="890" t="s">
        <v>27</v>
      </c>
      <c r="B10" s="524" t="s">
        <v>28</v>
      </c>
      <c r="C10" s="525"/>
      <c r="D10" s="525"/>
      <c r="E10" s="525"/>
      <c r="F10" s="526" t="s">
        <v>29</v>
      </c>
      <c r="G10" s="373">
        <f>SUM(G11:G15)</f>
        <v>180</v>
      </c>
      <c r="H10" s="370" t="s">
        <v>181</v>
      </c>
      <c r="I10" s="371">
        <f>SUM(I11:I15)</f>
        <v>180</v>
      </c>
      <c r="J10" s="372" t="s">
        <v>173</v>
      </c>
      <c r="K10" s="373">
        <f>SUM(K11:K15)</f>
        <v>180</v>
      </c>
      <c r="L10" s="370" t="s">
        <v>181</v>
      </c>
      <c r="M10" s="371">
        <f>SUM(M11:M15)</f>
        <v>180</v>
      </c>
      <c r="N10" s="462" t="s">
        <v>173</v>
      </c>
      <c r="O10" s="373">
        <f>SUM(O11:O15)</f>
        <v>180</v>
      </c>
      <c r="P10" s="370" t="s">
        <v>181</v>
      </c>
      <c r="Q10" s="371">
        <f>SUM(Q11:Q15)</f>
        <v>180</v>
      </c>
      <c r="R10" s="462" t="s">
        <v>173</v>
      </c>
      <c r="S10" s="527"/>
      <c r="T10" s="891"/>
      <c r="U10" s="919"/>
      <c r="V10" s="911"/>
      <c r="W10" s="918"/>
      <c r="X10" s="521" t="s">
        <v>31</v>
      </c>
      <c r="Y10" s="522"/>
      <c r="Z10" s="410">
        <v>744818</v>
      </c>
      <c r="AA10" s="461">
        <v>805351</v>
      </c>
      <c r="AB10" s="461">
        <v>756212</v>
      </c>
    </row>
    <row r="11" spans="1:28" s="523" customFormat="1" ht="29.25" customHeight="1">
      <c r="A11" s="891"/>
      <c r="B11" s="919" t="s">
        <v>32</v>
      </c>
      <c r="C11" s="528" t="s">
        <v>33</v>
      </c>
      <c r="D11" s="529"/>
      <c r="E11" s="529"/>
      <c r="F11" s="530"/>
      <c r="G11" s="378">
        <v>180</v>
      </c>
      <c r="H11" s="375" t="s">
        <v>181</v>
      </c>
      <c r="I11" s="376">
        <v>180</v>
      </c>
      <c r="J11" s="377" t="s">
        <v>173</v>
      </c>
      <c r="K11" s="378">
        <v>180</v>
      </c>
      <c r="L11" s="375" t="s">
        <v>181</v>
      </c>
      <c r="M11" s="376">
        <v>180</v>
      </c>
      <c r="N11" s="463" t="s">
        <v>173</v>
      </c>
      <c r="O11" s="378">
        <v>180</v>
      </c>
      <c r="P11" s="375" t="s">
        <v>181</v>
      </c>
      <c r="Q11" s="376">
        <v>180</v>
      </c>
      <c r="R11" s="463" t="s">
        <v>173</v>
      </c>
      <c r="S11" s="527"/>
      <c r="T11" s="891"/>
      <c r="U11" s="919"/>
      <c r="V11" s="911"/>
      <c r="W11" s="918"/>
      <c r="X11" s="521" t="s">
        <v>34</v>
      </c>
      <c r="Y11" s="522"/>
      <c r="Z11" s="410">
        <v>129732</v>
      </c>
      <c r="AA11" s="461">
        <v>133901</v>
      </c>
      <c r="AB11" s="461">
        <v>144395</v>
      </c>
    </row>
    <row r="12" spans="1:28" s="523" customFormat="1" ht="29.25" customHeight="1">
      <c r="A12" s="891"/>
      <c r="B12" s="919"/>
      <c r="C12" s="528" t="s">
        <v>35</v>
      </c>
      <c r="D12" s="529"/>
      <c r="E12" s="529"/>
      <c r="F12" s="530"/>
      <c r="G12" s="378"/>
      <c r="H12" s="375" t="s">
        <v>181</v>
      </c>
      <c r="I12" s="376"/>
      <c r="J12" s="377" t="s">
        <v>173</v>
      </c>
      <c r="K12" s="378"/>
      <c r="L12" s="375" t="s">
        <v>181</v>
      </c>
      <c r="M12" s="376"/>
      <c r="N12" s="463" t="s">
        <v>173</v>
      </c>
      <c r="O12" s="378"/>
      <c r="P12" s="375" t="s">
        <v>181</v>
      </c>
      <c r="Q12" s="376"/>
      <c r="R12" s="463" t="s">
        <v>173</v>
      </c>
      <c r="S12" s="527"/>
      <c r="T12" s="891"/>
      <c r="U12" s="919"/>
      <c r="V12" s="911"/>
      <c r="W12" s="520" t="s">
        <v>36</v>
      </c>
      <c r="X12" s="521"/>
      <c r="Y12" s="522" t="s">
        <v>182</v>
      </c>
      <c r="Z12" s="410">
        <v>625561</v>
      </c>
      <c r="AA12" s="461">
        <v>638038</v>
      </c>
      <c r="AB12" s="461">
        <v>616282</v>
      </c>
    </row>
    <row r="13" spans="1:28" s="523" customFormat="1" ht="29.25" customHeight="1">
      <c r="A13" s="891"/>
      <c r="B13" s="919"/>
      <c r="C13" s="521" t="s">
        <v>38</v>
      </c>
      <c r="D13" s="531"/>
      <c r="E13" s="531"/>
      <c r="F13" s="526"/>
      <c r="G13" s="378"/>
      <c r="H13" s="375" t="s">
        <v>181</v>
      </c>
      <c r="I13" s="376"/>
      <c r="J13" s="377" t="s">
        <v>173</v>
      </c>
      <c r="K13" s="378"/>
      <c r="L13" s="375" t="s">
        <v>181</v>
      </c>
      <c r="M13" s="376"/>
      <c r="N13" s="463" t="s">
        <v>173</v>
      </c>
      <c r="O13" s="378"/>
      <c r="P13" s="375" t="s">
        <v>181</v>
      </c>
      <c r="Q13" s="376"/>
      <c r="R13" s="463" t="s">
        <v>173</v>
      </c>
      <c r="S13" s="527"/>
      <c r="T13" s="891"/>
      <c r="U13" s="919"/>
      <c r="V13" s="906"/>
      <c r="W13" s="532" t="s">
        <v>180</v>
      </c>
      <c r="X13" s="521" t="s">
        <v>39</v>
      </c>
      <c r="Y13" s="522"/>
      <c r="Z13" s="410">
        <v>559305</v>
      </c>
      <c r="AA13" s="461">
        <v>574488</v>
      </c>
      <c r="AB13" s="461">
        <v>556747</v>
      </c>
    </row>
    <row r="14" spans="1:28" s="523" customFormat="1" ht="29.25" customHeight="1">
      <c r="A14" s="891"/>
      <c r="B14" s="919"/>
      <c r="C14" s="521" t="s">
        <v>40</v>
      </c>
      <c r="D14" s="531"/>
      <c r="E14" s="531"/>
      <c r="F14" s="526"/>
      <c r="G14" s="378"/>
      <c r="H14" s="375" t="s">
        <v>181</v>
      </c>
      <c r="I14" s="376"/>
      <c r="J14" s="377" t="s">
        <v>173</v>
      </c>
      <c r="K14" s="378"/>
      <c r="L14" s="375" t="s">
        <v>181</v>
      </c>
      <c r="M14" s="376"/>
      <c r="N14" s="463" t="s">
        <v>173</v>
      </c>
      <c r="O14" s="378"/>
      <c r="P14" s="375" t="s">
        <v>181</v>
      </c>
      <c r="Q14" s="376"/>
      <c r="R14" s="463" t="s">
        <v>173</v>
      </c>
      <c r="S14" s="527"/>
      <c r="T14" s="891"/>
      <c r="U14" s="920"/>
      <c r="V14" s="520" t="s">
        <v>41</v>
      </c>
      <c r="W14" s="532"/>
      <c r="X14" s="533"/>
      <c r="Y14" s="522" t="s">
        <v>183</v>
      </c>
      <c r="Z14" s="410"/>
      <c r="AA14" s="461"/>
      <c r="AB14" s="461"/>
    </row>
    <row r="15" spans="1:28" s="523" customFormat="1" ht="29.25" customHeight="1">
      <c r="A15" s="891"/>
      <c r="B15" s="920"/>
      <c r="C15" s="521" t="s">
        <v>43</v>
      </c>
      <c r="D15" s="531"/>
      <c r="E15" s="531"/>
      <c r="F15" s="526"/>
      <c r="G15" s="378"/>
      <c r="H15" s="375" t="s">
        <v>181</v>
      </c>
      <c r="I15" s="376" t="s">
        <v>184</v>
      </c>
      <c r="J15" s="377" t="s">
        <v>173</v>
      </c>
      <c r="K15" s="378"/>
      <c r="L15" s="375" t="s">
        <v>181</v>
      </c>
      <c r="M15" s="376" t="s">
        <v>184</v>
      </c>
      <c r="N15" s="463" t="s">
        <v>173</v>
      </c>
      <c r="O15" s="378"/>
      <c r="P15" s="375" t="s">
        <v>181</v>
      </c>
      <c r="Q15" s="376" t="s">
        <v>184</v>
      </c>
      <c r="R15" s="463" t="s">
        <v>173</v>
      </c>
      <c r="S15" s="527"/>
      <c r="T15" s="891"/>
      <c r="U15" s="534" t="s">
        <v>44</v>
      </c>
      <c r="V15" s="520"/>
      <c r="W15" s="520"/>
      <c r="X15" s="521"/>
      <c r="Y15" s="522" t="s">
        <v>185</v>
      </c>
      <c r="Z15" s="410">
        <f>Z16+Z23</f>
        <v>3431464</v>
      </c>
      <c r="AA15" s="461">
        <f>AA16+AA23</f>
        <v>3394076</v>
      </c>
      <c r="AB15" s="461">
        <f>AB16+AB23</f>
        <v>3264538</v>
      </c>
    </row>
    <row r="16" spans="1:28" s="523" customFormat="1" ht="29.25" customHeight="1">
      <c r="A16" s="891"/>
      <c r="B16" s="535" t="s">
        <v>46</v>
      </c>
      <c r="C16" s="531"/>
      <c r="D16" s="531"/>
      <c r="E16" s="531"/>
      <c r="F16" s="526" t="s">
        <v>29</v>
      </c>
      <c r="G16" s="840">
        <v>28</v>
      </c>
      <c r="H16" s="887"/>
      <c r="I16" s="887"/>
      <c r="J16" s="888"/>
      <c r="K16" s="839">
        <v>28</v>
      </c>
      <c r="L16" s="837"/>
      <c r="M16" s="837"/>
      <c r="N16" s="870"/>
      <c r="O16" s="839">
        <v>28</v>
      </c>
      <c r="P16" s="837"/>
      <c r="Q16" s="837"/>
      <c r="R16" s="870"/>
      <c r="S16" s="536"/>
      <c r="T16" s="891"/>
      <c r="U16" s="883" t="s">
        <v>176</v>
      </c>
      <c r="V16" s="520" t="s">
        <v>47</v>
      </c>
      <c r="W16" s="520"/>
      <c r="X16" s="521"/>
      <c r="Y16" s="522" t="s">
        <v>186</v>
      </c>
      <c r="Z16" s="410">
        <f>Z17+Z21</f>
        <v>3429717</v>
      </c>
      <c r="AA16" s="461">
        <f>AA17+AA21</f>
        <v>3392602</v>
      </c>
      <c r="AB16" s="461">
        <f>AB17+AB21</f>
        <v>3263273</v>
      </c>
    </row>
    <row r="17" spans="1:28" s="523" customFormat="1" ht="29.25" customHeight="1">
      <c r="A17" s="891"/>
      <c r="B17" s="535" t="s">
        <v>49</v>
      </c>
      <c r="C17" s="531"/>
      <c r="D17" s="531"/>
      <c r="E17" s="531"/>
      <c r="F17" s="526" t="s">
        <v>29</v>
      </c>
      <c r="G17" s="840">
        <v>10</v>
      </c>
      <c r="H17" s="887"/>
      <c r="I17" s="887"/>
      <c r="J17" s="888"/>
      <c r="K17" s="843">
        <v>10</v>
      </c>
      <c r="L17" s="841"/>
      <c r="M17" s="841"/>
      <c r="N17" s="871"/>
      <c r="O17" s="843">
        <v>10</v>
      </c>
      <c r="P17" s="841"/>
      <c r="Q17" s="841"/>
      <c r="R17" s="871"/>
      <c r="S17" s="536"/>
      <c r="T17" s="891"/>
      <c r="U17" s="884"/>
      <c r="V17" s="905" t="s">
        <v>176</v>
      </c>
      <c r="W17" s="520" t="s">
        <v>50</v>
      </c>
      <c r="X17" s="521"/>
      <c r="Y17" s="522" t="s">
        <v>187</v>
      </c>
      <c r="Z17" s="410">
        <v>3330324</v>
      </c>
      <c r="AA17" s="461">
        <v>3301982</v>
      </c>
      <c r="AB17" s="461">
        <v>3179723</v>
      </c>
    </row>
    <row r="18" spans="1:28" s="523" customFormat="1" ht="29.25" customHeight="1">
      <c r="A18" s="891"/>
      <c r="B18" s="535" t="s">
        <v>52</v>
      </c>
      <c r="C18" s="531"/>
      <c r="D18" s="531"/>
      <c r="E18" s="531"/>
      <c r="F18" s="526" t="s">
        <v>188</v>
      </c>
      <c r="G18" s="912">
        <v>13402</v>
      </c>
      <c r="H18" s="913"/>
      <c r="I18" s="913"/>
      <c r="J18" s="914"/>
      <c r="K18" s="835">
        <v>13402</v>
      </c>
      <c r="L18" s="833"/>
      <c r="M18" s="833"/>
      <c r="N18" s="869"/>
      <c r="O18" s="835">
        <v>15100</v>
      </c>
      <c r="P18" s="833"/>
      <c r="Q18" s="833"/>
      <c r="R18" s="869"/>
      <c r="S18" s="537"/>
      <c r="T18" s="891"/>
      <c r="U18" s="884"/>
      <c r="V18" s="911"/>
      <c r="W18" s="905" t="s">
        <v>180</v>
      </c>
      <c r="X18" s="521" t="s">
        <v>54</v>
      </c>
      <c r="Y18" s="522"/>
      <c r="Z18" s="410">
        <v>1891933</v>
      </c>
      <c r="AA18" s="461">
        <v>1912646</v>
      </c>
      <c r="AB18" s="461">
        <v>1830375</v>
      </c>
    </row>
    <row r="19" spans="1:28" s="523" customFormat="1" ht="29.25" customHeight="1" thickBot="1">
      <c r="A19" s="892"/>
      <c r="B19" s="538" t="s">
        <v>55</v>
      </c>
      <c r="C19" s="539"/>
      <c r="D19" s="539"/>
      <c r="E19" s="539"/>
      <c r="F19" s="540" t="s">
        <v>56</v>
      </c>
      <c r="G19" s="383"/>
      <c r="H19" s="380" t="s">
        <v>181</v>
      </c>
      <c r="I19" s="381" t="s">
        <v>184</v>
      </c>
      <c r="J19" s="382" t="s">
        <v>189</v>
      </c>
      <c r="K19" s="383"/>
      <c r="L19" s="380" t="s">
        <v>181</v>
      </c>
      <c r="M19" s="381" t="s">
        <v>184</v>
      </c>
      <c r="N19" s="464" t="s">
        <v>189</v>
      </c>
      <c r="O19" s="383"/>
      <c r="P19" s="380" t="s">
        <v>181</v>
      </c>
      <c r="Q19" s="381" t="s">
        <v>184</v>
      </c>
      <c r="R19" s="464" t="s">
        <v>189</v>
      </c>
      <c r="S19" s="541"/>
      <c r="T19" s="891"/>
      <c r="U19" s="884"/>
      <c r="V19" s="911"/>
      <c r="W19" s="911"/>
      <c r="X19" s="521" t="s">
        <v>59</v>
      </c>
      <c r="Y19" s="522"/>
      <c r="Z19" s="410">
        <v>496045</v>
      </c>
      <c r="AA19" s="461">
        <v>477837</v>
      </c>
      <c r="AB19" s="461">
        <v>430548</v>
      </c>
    </row>
    <row r="20" spans="1:28" s="523" customFormat="1" ht="29.25" customHeight="1">
      <c r="A20" s="890" t="s">
        <v>60</v>
      </c>
      <c r="B20" s="542" t="s">
        <v>422</v>
      </c>
      <c r="C20" s="525"/>
      <c r="D20" s="525"/>
      <c r="E20" s="525"/>
      <c r="F20" s="543" t="s">
        <v>62</v>
      </c>
      <c r="G20" s="378">
        <v>235</v>
      </c>
      <c r="H20" s="385" t="s">
        <v>181</v>
      </c>
      <c r="I20" s="386">
        <f>G20/G10*100</f>
        <v>130.55555555555557</v>
      </c>
      <c r="J20" s="389" t="s">
        <v>173</v>
      </c>
      <c r="K20" s="378">
        <v>225</v>
      </c>
      <c r="L20" s="385" t="s">
        <v>181</v>
      </c>
      <c r="M20" s="386">
        <f>K20/K10*100</f>
        <v>125</v>
      </c>
      <c r="N20" s="465" t="s">
        <v>173</v>
      </c>
      <c r="O20" s="378">
        <v>223</v>
      </c>
      <c r="P20" s="385" t="s">
        <v>181</v>
      </c>
      <c r="Q20" s="386">
        <f>O20/O10*100</f>
        <v>123.88888888888889</v>
      </c>
      <c r="R20" s="465" t="s">
        <v>173</v>
      </c>
      <c r="S20" s="536"/>
      <c r="T20" s="891"/>
      <c r="U20" s="884"/>
      <c r="V20" s="911"/>
      <c r="W20" s="906"/>
      <c r="X20" s="521" t="s">
        <v>63</v>
      </c>
      <c r="Y20" s="522"/>
      <c r="Z20" s="410">
        <v>121171</v>
      </c>
      <c r="AA20" s="461">
        <v>116854</v>
      </c>
      <c r="AB20" s="461">
        <v>115487</v>
      </c>
    </row>
    <row r="21" spans="1:28" s="523" customFormat="1" ht="29.25" customHeight="1">
      <c r="A21" s="891"/>
      <c r="B21" s="915" t="s">
        <v>190</v>
      </c>
      <c r="C21" s="521" t="s">
        <v>65</v>
      </c>
      <c r="D21" s="531"/>
      <c r="E21" s="531"/>
      <c r="F21" s="526"/>
      <c r="G21" s="378">
        <v>20</v>
      </c>
      <c r="H21" s="385" t="s">
        <v>181</v>
      </c>
      <c r="I21" s="391">
        <f>G21/G10*100</f>
        <v>11.11111111111111</v>
      </c>
      <c r="J21" s="389" t="s">
        <v>173</v>
      </c>
      <c r="K21" s="378">
        <v>19</v>
      </c>
      <c r="L21" s="385" t="s">
        <v>181</v>
      </c>
      <c r="M21" s="391">
        <f>K21/K10*100</f>
        <v>10.555555555555555</v>
      </c>
      <c r="N21" s="465" t="s">
        <v>173</v>
      </c>
      <c r="O21" s="378">
        <v>19</v>
      </c>
      <c r="P21" s="385" t="s">
        <v>181</v>
      </c>
      <c r="Q21" s="391">
        <f>O21/O10*100</f>
        <v>10.555555555555555</v>
      </c>
      <c r="R21" s="465" t="s">
        <v>173</v>
      </c>
      <c r="S21" s="536"/>
      <c r="T21" s="891"/>
      <c r="U21" s="884"/>
      <c r="V21" s="911"/>
      <c r="W21" s="520" t="s">
        <v>66</v>
      </c>
      <c r="X21" s="521"/>
      <c r="Y21" s="522" t="s">
        <v>191</v>
      </c>
      <c r="Z21" s="410">
        <v>99393</v>
      </c>
      <c r="AA21" s="461">
        <v>90620</v>
      </c>
      <c r="AB21" s="461">
        <v>83550</v>
      </c>
    </row>
    <row r="22" spans="1:28" s="523" customFormat="1" ht="29.25" customHeight="1">
      <c r="A22" s="891"/>
      <c r="B22" s="916"/>
      <c r="C22" s="521" t="s">
        <v>68</v>
      </c>
      <c r="D22" s="531"/>
      <c r="E22" s="531"/>
      <c r="F22" s="526"/>
      <c r="G22" s="378">
        <v>143</v>
      </c>
      <c r="H22" s="385" t="s">
        <v>181</v>
      </c>
      <c r="I22" s="391">
        <f>G22/G10*100</f>
        <v>79.44444444444444</v>
      </c>
      <c r="J22" s="389" t="s">
        <v>173</v>
      </c>
      <c r="K22" s="378">
        <v>129</v>
      </c>
      <c r="L22" s="385" t="s">
        <v>181</v>
      </c>
      <c r="M22" s="391">
        <f>K22/K10*100</f>
        <v>71.66666666666667</v>
      </c>
      <c r="N22" s="465" t="s">
        <v>173</v>
      </c>
      <c r="O22" s="378">
        <v>125</v>
      </c>
      <c r="P22" s="385" t="s">
        <v>181</v>
      </c>
      <c r="Q22" s="391">
        <f>O22/O10*100</f>
        <v>69.44444444444444</v>
      </c>
      <c r="R22" s="465" t="s">
        <v>173</v>
      </c>
      <c r="S22" s="536"/>
      <c r="T22" s="891"/>
      <c r="U22" s="884"/>
      <c r="V22" s="906"/>
      <c r="W22" s="532" t="s">
        <v>180</v>
      </c>
      <c r="X22" s="521" t="s">
        <v>69</v>
      </c>
      <c r="Y22" s="522"/>
      <c r="Z22" s="410">
        <v>25477</v>
      </c>
      <c r="AA22" s="461">
        <v>22491</v>
      </c>
      <c r="AB22" s="461">
        <v>19689</v>
      </c>
    </row>
    <row r="23" spans="1:28" s="523" customFormat="1" ht="29.25" customHeight="1" thickBot="1">
      <c r="A23" s="891"/>
      <c r="B23" s="917"/>
      <c r="C23" s="544" t="s">
        <v>70</v>
      </c>
      <c r="D23" s="545"/>
      <c r="E23" s="545"/>
      <c r="F23" s="546"/>
      <c r="G23" s="395">
        <v>31</v>
      </c>
      <c r="H23" s="380" t="s">
        <v>181</v>
      </c>
      <c r="I23" s="393">
        <f>G23/G10*100</f>
        <v>17.22222222222222</v>
      </c>
      <c r="J23" s="382" t="s">
        <v>173</v>
      </c>
      <c r="K23" s="395">
        <v>37</v>
      </c>
      <c r="L23" s="380" t="s">
        <v>181</v>
      </c>
      <c r="M23" s="393">
        <f>K23/K10*100</f>
        <v>20.555555555555554</v>
      </c>
      <c r="N23" s="464" t="s">
        <v>173</v>
      </c>
      <c r="O23" s="395">
        <v>42</v>
      </c>
      <c r="P23" s="380" t="s">
        <v>181</v>
      </c>
      <c r="Q23" s="393">
        <f>O23/O10*100</f>
        <v>23.333333333333332</v>
      </c>
      <c r="R23" s="464" t="s">
        <v>173</v>
      </c>
      <c r="S23" s="536"/>
      <c r="T23" s="891"/>
      <c r="U23" s="889"/>
      <c r="V23" s="520" t="s">
        <v>71</v>
      </c>
      <c r="W23" s="520"/>
      <c r="X23" s="521"/>
      <c r="Y23" s="522" t="s">
        <v>192</v>
      </c>
      <c r="Z23" s="410">
        <v>1747</v>
      </c>
      <c r="AA23" s="461">
        <v>1474</v>
      </c>
      <c r="AB23" s="461">
        <v>1265</v>
      </c>
    </row>
    <row r="24" spans="1:28" s="523" customFormat="1" ht="29.25" customHeight="1">
      <c r="A24" s="893" t="s">
        <v>73</v>
      </c>
      <c r="B24" s="529" t="s">
        <v>74</v>
      </c>
      <c r="C24" s="529"/>
      <c r="D24" s="529"/>
      <c r="E24" s="529"/>
      <c r="F24" s="530" t="s">
        <v>193</v>
      </c>
      <c r="G24" s="896">
        <v>74</v>
      </c>
      <c r="H24" s="897"/>
      <c r="I24" s="897"/>
      <c r="J24" s="898"/>
      <c r="K24" s="739">
        <f>K30/(K10*365)*100</f>
        <v>70.72450532724505</v>
      </c>
      <c r="L24" s="740"/>
      <c r="M24" s="740"/>
      <c r="N24" s="741"/>
      <c r="O24" s="739">
        <f>O30/(O10*365)*100</f>
        <v>64.48401826484019</v>
      </c>
      <c r="P24" s="740"/>
      <c r="Q24" s="740"/>
      <c r="R24" s="741"/>
      <c r="S24" s="536"/>
      <c r="T24" s="891"/>
      <c r="U24" s="534" t="s">
        <v>76</v>
      </c>
      <c r="V24" s="520"/>
      <c r="W24" s="520"/>
      <c r="X24" s="521"/>
      <c r="Y24" s="522"/>
      <c r="Z24" s="414">
        <f>Z7-Z16</f>
        <v>119520</v>
      </c>
      <c r="AA24" s="466">
        <f>AA7-AA16</f>
        <v>168175</v>
      </c>
      <c r="AB24" s="466">
        <f>AB7-AB16</f>
        <v>64452</v>
      </c>
    </row>
    <row r="25" spans="1:28" s="523" customFormat="1" ht="29.25" customHeight="1" thickBot="1">
      <c r="A25" s="894"/>
      <c r="B25" s="531" t="s">
        <v>77</v>
      </c>
      <c r="C25" s="531"/>
      <c r="D25" s="531"/>
      <c r="E25" s="531"/>
      <c r="F25" s="526" t="s">
        <v>193</v>
      </c>
      <c r="G25" s="886">
        <v>74</v>
      </c>
      <c r="H25" s="887"/>
      <c r="I25" s="887"/>
      <c r="J25" s="888"/>
      <c r="K25" s="724">
        <v>70.7</v>
      </c>
      <c r="L25" s="725"/>
      <c r="M25" s="725"/>
      <c r="N25" s="726"/>
      <c r="O25" s="724">
        <v>64.5</v>
      </c>
      <c r="P25" s="725"/>
      <c r="Q25" s="725"/>
      <c r="R25" s="726"/>
      <c r="S25" s="536"/>
      <c r="T25" s="892"/>
      <c r="U25" s="547" t="s">
        <v>78</v>
      </c>
      <c r="V25" s="548"/>
      <c r="W25" s="548"/>
      <c r="X25" s="544"/>
      <c r="Y25" s="549"/>
      <c r="Z25" s="416">
        <f>Z6-Z15</f>
        <v>117773</v>
      </c>
      <c r="AA25" s="467">
        <f>AA6-AA15</f>
        <v>166701</v>
      </c>
      <c r="AB25" s="467">
        <f>AB6-AB15</f>
        <v>63187</v>
      </c>
    </row>
    <row r="26" spans="1:28" s="523" customFormat="1" ht="29.25" customHeight="1">
      <c r="A26" s="894"/>
      <c r="B26" s="531" t="s">
        <v>79</v>
      </c>
      <c r="C26" s="531"/>
      <c r="D26" s="531"/>
      <c r="E26" s="531"/>
      <c r="F26" s="530" t="s">
        <v>193</v>
      </c>
      <c r="G26" s="886">
        <v>74</v>
      </c>
      <c r="H26" s="887"/>
      <c r="I26" s="887"/>
      <c r="J26" s="888"/>
      <c r="K26" s="724">
        <v>70.7</v>
      </c>
      <c r="L26" s="725"/>
      <c r="M26" s="725"/>
      <c r="N26" s="726"/>
      <c r="O26" s="724">
        <v>64.5</v>
      </c>
      <c r="P26" s="725"/>
      <c r="Q26" s="725"/>
      <c r="R26" s="726"/>
      <c r="S26" s="536"/>
      <c r="T26" s="890" t="s">
        <v>80</v>
      </c>
      <c r="U26" s="525" t="s">
        <v>81</v>
      </c>
      <c r="V26" s="525"/>
      <c r="W26" s="525"/>
      <c r="X26" s="525"/>
      <c r="Y26" s="550" t="s">
        <v>194</v>
      </c>
      <c r="Z26" s="408">
        <v>194821</v>
      </c>
      <c r="AA26" s="460">
        <v>175469</v>
      </c>
      <c r="AB26" s="460">
        <v>778716</v>
      </c>
    </row>
    <row r="27" spans="1:28" s="523" customFormat="1" ht="29.25" customHeight="1">
      <c r="A27" s="894"/>
      <c r="B27" s="531" t="s">
        <v>83</v>
      </c>
      <c r="C27" s="531"/>
      <c r="D27" s="531"/>
      <c r="E27" s="531"/>
      <c r="F27" s="526" t="s">
        <v>84</v>
      </c>
      <c r="G27" s="886">
        <v>17.4</v>
      </c>
      <c r="H27" s="887"/>
      <c r="I27" s="887"/>
      <c r="J27" s="888"/>
      <c r="K27" s="724">
        <v>16.8</v>
      </c>
      <c r="L27" s="725"/>
      <c r="M27" s="725"/>
      <c r="N27" s="726"/>
      <c r="O27" s="724">
        <v>15.3</v>
      </c>
      <c r="P27" s="725"/>
      <c r="Q27" s="725"/>
      <c r="R27" s="726"/>
      <c r="S27" s="536"/>
      <c r="T27" s="891"/>
      <c r="U27" s="883" t="s">
        <v>180</v>
      </c>
      <c r="V27" s="520" t="s">
        <v>85</v>
      </c>
      <c r="W27" s="520"/>
      <c r="X27" s="521"/>
      <c r="Y27" s="522"/>
      <c r="Z27" s="410"/>
      <c r="AA27" s="461"/>
      <c r="AB27" s="461">
        <v>410000</v>
      </c>
    </row>
    <row r="28" spans="1:28" s="523" customFormat="1" ht="29.25" customHeight="1">
      <c r="A28" s="894"/>
      <c r="B28" s="909" t="s">
        <v>86</v>
      </c>
      <c r="C28" s="909"/>
      <c r="D28" s="551"/>
      <c r="E28" s="552" t="s">
        <v>87</v>
      </c>
      <c r="F28" s="526"/>
      <c r="G28" s="907">
        <v>133</v>
      </c>
      <c r="H28" s="887"/>
      <c r="I28" s="887"/>
      <c r="J28" s="888"/>
      <c r="K28" s="733">
        <v>127</v>
      </c>
      <c r="L28" s="734"/>
      <c r="M28" s="734"/>
      <c r="N28" s="735"/>
      <c r="O28" s="733">
        <v>116</v>
      </c>
      <c r="P28" s="734"/>
      <c r="Q28" s="734"/>
      <c r="R28" s="735"/>
      <c r="S28" s="536"/>
      <c r="T28" s="891"/>
      <c r="U28" s="889"/>
      <c r="V28" s="520" t="s">
        <v>88</v>
      </c>
      <c r="W28" s="520"/>
      <c r="X28" s="521"/>
      <c r="Y28" s="522"/>
      <c r="Z28" s="410">
        <v>194821</v>
      </c>
      <c r="AA28" s="461">
        <v>175469</v>
      </c>
      <c r="AB28" s="461">
        <v>182716</v>
      </c>
    </row>
    <row r="29" spans="1:28" s="523" customFormat="1" ht="29.25" customHeight="1">
      <c r="A29" s="894"/>
      <c r="B29" s="910"/>
      <c r="C29" s="910"/>
      <c r="D29" s="553" t="s">
        <v>62</v>
      </c>
      <c r="E29" s="552" t="s">
        <v>89</v>
      </c>
      <c r="F29" s="526"/>
      <c r="G29" s="907">
        <v>365</v>
      </c>
      <c r="H29" s="887"/>
      <c r="I29" s="887"/>
      <c r="J29" s="888"/>
      <c r="K29" s="733">
        <v>381</v>
      </c>
      <c r="L29" s="734"/>
      <c r="M29" s="734"/>
      <c r="N29" s="735"/>
      <c r="O29" s="733">
        <v>347</v>
      </c>
      <c r="P29" s="734"/>
      <c r="Q29" s="734"/>
      <c r="R29" s="735"/>
      <c r="S29" s="536"/>
      <c r="T29" s="891"/>
      <c r="U29" s="531" t="s">
        <v>90</v>
      </c>
      <c r="V29" s="531"/>
      <c r="W29" s="531"/>
      <c r="X29" s="531"/>
      <c r="Y29" s="522" t="s">
        <v>195</v>
      </c>
      <c r="Z29" s="410">
        <v>322790</v>
      </c>
      <c r="AA29" s="461">
        <v>283161</v>
      </c>
      <c r="AB29" s="461">
        <v>897213</v>
      </c>
    </row>
    <row r="30" spans="1:28" s="523" customFormat="1" ht="29.25" customHeight="1">
      <c r="A30" s="894"/>
      <c r="B30" s="909" t="s">
        <v>92</v>
      </c>
      <c r="C30" s="909"/>
      <c r="D30" s="554"/>
      <c r="E30" s="552" t="s">
        <v>87</v>
      </c>
      <c r="F30" s="526"/>
      <c r="G30" s="908">
        <v>48779</v>
      </c>
      <c r="H30" s="887"/>
      <c r="I30" s="887"/>
      <c r="J30" s="888"/>
      <c r="K30" s="736">
        <v>46466</v>
      </c>
      <c r="L30" s="737"/>
      <c r="M30" s="737"/>
      <c r="N30" s="738"/>
      <c r="O30" s="736">
        <v>42366</v>
      </c>
      <c r="P30" s="737"/>
      <c r="Q30" s="737"/>
      <c r="R30" s="738"/>
      <c r="S30" s="536"/>
      <c r="T30" s="891"/>
      <c r="U30" s="883" t="s">
        <v>180</v>
      </c>
      <c r="V30" s="520" t="s">
        <v>93</v>
      </c>
      <c r="W30" s="520"/>
      <c r="X30" s="521"/>
      <c r="Y30" s="522"/>
      <c r="Z30" s="410">
        <v>100000</v>
      </c>
      <c r="AA30" s="461">
        <v>79828</v>
      </c>
      <c r="AB30" s="461">
        <v>702683</v>
      </c>
    </row>
    <row r="31" spans="1:28" s="523" customFormat="1" ht="29.25" customHeight="1">
      <c r="A31" s="894"/>
      <c r="B31" s="910"/>
      <c r="C31" s="910"/>
      <c r="D31" s="553" t="s">
        <v>62</v>
      </c>
      <c r="E31" s="552" t="s">
        <v>89</v>
      </c>
      <c r="F31" s="526"/>
      <c r="G31" s="908">
        <v>89091</v>
      </c>
      <c r="H31" s="887"/>
      <c r="I31" s="887"/>
      <c r="J31" s="888"/>
      <c r="K31" s="736">
        <v>93398</v>
      </c>
      <c r="L31" s="737"/>
      <c r="M31" s="737"/>
      <c r="N31" s="738"/>
      <c r="O31" s="736">
        <v>84673</v>
      </c>
      <c r="P31" s="737"/>
      <c r="Q31" s="737"/>
      <c r="R31" s="738"/>
      <c r="S31" s="536"/>
      <c r="T31" s="891"/>
      <c r="U31" s="889"/>
      <c r="V31" s="520" t="s">
        <v>94</v>
      </c>
      <c r="W31" s="520"/>
      <c r="X31" s="521"/>
      <c r="Y31" s="522"/>
      <c r="Z31" s="410">
        <v>222790</v>
      </c>
      <c r="AA31" s="461">
        <v>203333</v>
      </c>
      <c r="AB31" s="461">
        <v>194530</v>
      </c>
    </row>
    <row r="32" spans="1:28" s="523" customFormat="1" ht="29.25" customHeight="1">
      <c r="A32" s="894"/>
      <c r="B32" s="531" t="s">
        <v>95</v>
      </c>
      <c r="C32" s="531"/>
      <c r="D32" s="531"/>
      <c r="E32" s="531"/>
      <c r="F32" s="526" t="s">
        <v>193</v>
      </c>
      <c r="G32" s="886">
        <v>182.6</v>
      </c>
      <c r="H32" s="887"/>
      <c r="I32" s="887"/>
      <c r="J32" s="888"/>
      <c r="K32" s="724">
        <v>201</v>
      </c>
      <c r="L32" s="725"/>
      <c r="M32" s="725"/>
      <c r="N32" s="726"/>
      <c r="O32" s="724">
        <v>199.9</v>
      </c>
      <c r="P32" s="725"/>
      <c r="Q32" s="725"/>
      <c r="R32" s="726"/>
      <c r="S32" s="536"/>
      <c r="T32" s="891"/>
      <c r="U32" s="534" t="s">
        <v>96</v>
      </c>
      <c r="V32" s="532"/>
      <c r="W32" s="532"/>
      <c r="X32" s="533"/>
      <c r="Y32" s="522" t="s">
        <v>196</v>
      </c>
      <c r="Z32" s="477">
        <f>Z26-Z29</f>
        <v>-127969</v>
      </c>
      <c r="AA32" s="620">
        <f>AA26-AA29</f>
        <v>-107692</v>
      </c>
      <c r="AB32" s="620">
        <f>AB26-AB29</f>
        <v>-118497</v>
      </c>
    </row>
    <row r="33" spans="1:28" s="523" customFormat="1" ht="29.25" customHeight="1">
      <c r="A33" s="894"/>
      <c r="B33" s="531" t="s">
        <v>98</v>
      </c>
      <c r="C33" s="531"/>
      <c r="D33" s="531"/>
      <c r="E33" s="531"/>
      <c r="F33" s="526" t="s">
        <v>99</v>
      </c>
      <c r="G33" s="908">
        <v>11354</v>
      </c>
      <c r="H33" s="887"/>
      <c r="I33" s="887"/>
      <c r="J33" s="888"/>
      <c r="K33" s="736">
        <v>11816</v>
      </c>
      <c r="L33" s="737"/>
      <c r="M33" s="737"/>
      <c r="N33" s="738"/>
      <c r="O33" s="736">
        <v>10959</v>
      </c>
      <c r="P33" s="737"/>
      <c r="Q33" s="737"/>
      <c r="R33" s="738"/>
      <c r="S33" s="536"/>
      <c r="T33" s="891"/>
      <c r="U33" s="531" t="s">
        <v>100</v>
      </c>
      <c r="V33" s="531"/>
      <c r="W33" s="531"/>
      <c r="X33" s="531"/>
      <c r="Y33" s="522" t="s">
        <v>197</v>
      </c>
      <c r="Z33" s="410">
        <v>127969</v>
      </c>
      <c r="AA33" s="461">
        <v>107692</v>
      </c>
      <c r="AB33" s="461">
        <v>118497</v>
      </c>
    </row>
    <row r="34" spans="1:28" s="523" customFormat="1" ht="29.25" customHeight="1" thickBot="1">
      <c r="A34" s="894"/>
      <c r="B34" s="555" t="s">
        <v>102</v>
      </c>
      <c r="C34" s="555"/>
      <c r="D34" s="554"/>
      <c r="E34" s="552" t="s">
        <v>87</v>
      </c>
      <c r="F34" s="526"/>
      <c r="G34" s="886">
        <v>6</v>
      </c>
      <c r="H34" s="887"/>
      <c r="I34" s="887"/>
      <c r="J34" s="888"/>
      <c r="K34" s="724">
        <v>5.3</v>
      </c>
      <c r="L34" s="725"/>
      <c r="M34" s="725"/>
      <c r="N34" s="726"/>
      <c r="O34" s="724">
        <v>5.3</v>
      </c>
      <c r="P34" s="725"/>
      <c r="Q34" s="725"/>
      <c r="R34" s="726"/>
      <c r="S34" s="536"/>
      <c r="T34" s="892"/>
      <c r="U34" s="547" t="s">
        <v>103</v>
      </c>
      <c r="V34" s="548"/>
      <c r="W34" s="548"/>
      <c r="X34" s="544"/>
      <c r="Y34" s="549"/>
      <c r="Z34" s="418">
        <f>Z32+Z33</f>
        <v>0</v>
      </c>
      <c r="AA34" s="468">
        <f>AA32+AA33</f>
        <v>0</v>
      </c>
      <c r="AB34" s="468">
        <f>AB32+AB33</f>
        <v>0</v>
      </c>
    </row>
    <row r="35" spans="1:28" s="523" customFormat="1" ht="29.25" customHeight="1" thickBot="1">
      <c r="A35" s="894"/>
      <c r="B35" s="529" t="s">
        <v>104</v>
      </c>
      <c r="C35" s="529"/>
      <c r="D35" s="553" t="s">
        <v>62</v>
      </c>
      <c r="E35" s="552" t="s">
        <v>89</v>
      </c>
      <c r="F35" s="526"/>
      <c r="G35" s="886">
        <v>11</v>
      </c>
      <c r="H35" s="887"/>
      <c r="I35" s="887"/>
      <c r="J35" s="888"/>
      <c r="K35" s="724">
        <v>10.6</v>
      </c>
      <c r="L35" s="725"/>
      <c r="M35" s="725"/>
      <c r="N35" s="726"/>
      <c r="O35" s="724">
        <v>10.6</v>
      </c>
      <c r="P35" s="725"/>
      <c r="Q35" s="725"/>
      <c r="R35" s="726"/>
      <c r="S35" s="536"/>
      <c r="T35" s="556" t="s">
        <v>105</v>
      </c>
      <c r="U35" s="557"/>
      <c r="V35" s="557"/>
      <c r="W35" s="557"/>
      <c r="X35" s="558"/>
      <c r="Y35" s="559"/>
      <c r="Z35" s="419">
        <v>579205</v>
      </c>
      <c r="AA35" s="468">
        <v>752302</v>
      </c>
      <c r="AB35" s="468">
        <v>810535</v>
      </c>
    </row>
    <row r="36" spans="1:28" s="523" customFormat="1" ht="29.25" customHeight="1">
      <c r="A36" s="894"/>
      <c r="B36" s="531" t="s">
        <v>106</v>
      </c>
      <c r="C36" s="531"/>
      <c r="D36" s="531"/>
      <c r="E36" s="531"/>
      <c r="F36" s="526" t="s">
        <v>99</v>
      </c>
      <c r="G36" s="907">
        <v>328</v>
      </c>
      <c r="H36" s="887"/>
      <c r="I36" s="887"/>
      <c r="J36" s="888"/>
      <c r="K36" s="733">
        <v>301</v>
      </c>
      <c r="L36" s="734"/>
      <c r="M36" s="734"/>
      <c r="N36" s="735"/>
      <c r="O36" s="733">
        <v>306</v>
      </c>
      <c r="P36" s="734"/>
      <c r="Q36" s="734"/>
      <c r="R36" s="735"/>
      <c r="S36" s="560"/>
      <c r="T36" s="561" t="s">
        <v>107</v>
      </c>
      <c r="U36" s="562"/>
      <c r="V36" s="562"/>
      <c r="W36" s="562"/>
      <c r="X36" s="563"/>
      <c r="Y36" s="550"/>
      <c r="Z36" s="408">
        <v>883858</v>
      </c>
      <c r="AA36" s="460">
        <v>883858</v>
      </c>
      <c r="AB36" s="460">
        <v>883858</v>
      </c>
    </row>
    <row r="37" spans="1:28" s="523" customFormat="1" ht="29.25" customHeight="1" thickBot="1">
      <c r="A37" s="894"/>
      <c r="B37" s="531" t="s">
        <v>108</v>
      </c>
      <c r="C37" s="564"/>
      <c r="D37" s="531"/>
      <c r="E37" s="531"/>
      <c r="F37" s="526" t="s">
        <v>193</v>
      </c>
      <c r="G37" s="886">
        <v>115</v>
      </c>
      <c r="H37" s="887"/>
      <c r="I37" s="887"/>
      <c r="J37" s="888"/>
      <c r="K37" s="724">
        <v>112.3</v>
      </c>
      <c r="L37" s="725"/>
      <c r="M37" s="725"/>
      <c r="N37" s="726"/>
      <c r="O37" s="724">
        <v>105</v>
      </c>
      <c r="P37" s="725"/>
      <c r="Q37" s="725"/>
      <c r="R37" s="726"/>
      <c r="S37" s="565"/>
      <c r="T37" s="566" t="s">
        <v>180</v>
      </c>
      <c r="U37" s="567"/>
      <c r="V37" s="544" t="s">
        <v>109</v>
      </c>
      <c r="W37" s="545"/>
      <c r="X37" s="545"/>
      <c r="Y37" s="549"/>
      <c r="Z37" s="420">
        <v>756756</v>
      </c>
      <c r="AA37" s="469">
        <v>713886</v>
      </c>
      <c r="AB37" s="469">
        <v>726007</v>
      </c>
    </row>
    <row r="38" spans="1:28" s="523" customFormat="1" ht="29.25" customHeight="1" thickBot="1">
      <c r="A38" s="894"/>
      <c r="B38" s="555" t="s">
        <v>110</v>
      </c>
      <c r="C38" s="555"/>
      <c r="D38" s="554"/>
      <c r="E38" s="552" t="s">
        <v>87</v>
      </c>
      <c r="F38" s="526"/>
      <c r="G38" s="907">
        <v>39429</v>
      </c>
      <c r="H38" s="887"/>
      <c r="I38" s="887"/>
      <c r="J38" s="888"/>
      <c r="K38" s="733">
        <v>39886</v>
      </c>
      <c r="L38" s="734"/>
      <c r="M38" s="734"/>
      <c r="N38" s="735"/>
      <c r="O38" s="733">
        <v>39836</v>
      </c>
      <c r="P38" s="734"/>
      <c r="Q38" s="734"/>
      <c r="R38" s="735"/>
      <c r="S38" s="568"/>
      <c r="T38" s="516" t="s">
        <v>111</v>
      </c>
      <c r="U38" s="517"/>
      <c r="V38" s="517"/>
      <c r="W38" s="517"/>
      <c r="X38" s="517"/>
      <c r="Y38" s="559"/>
      <c r="Z38" s="422">
        <v>3642903</v>
      </c>
      <c r="AA38" s="470">
        <v>3570226</v>
      </c>
      <c r="AB38" s="470">
        <v>4053662</v>
      </c>
    </row>
    <row r="39" spans="1:28" s="523" customFormat="1" ht="29.25" customHeight="1">
      <c r="A39" s="894"/>
      <c r="B39" s="529" t="s">
        <v>112</v>
      </c>
      <c r="C39" s="529"/>
      <c r="D39" s="553" t="s">
        <v>113</v>
      </c>
      <c r="E39" s="552" t="s">
        <v>89</v>
      </c>
      <c r="F39" s="526"/>
      <c r="G39" s="907">
        <v>8360</v>
      </c>
      <c r="H39" s="887"/>
      <c r="I39" s="887"/>
      <c r="J39" s="888"/>
      <c r="K39" s="733">
        <v>8623</v>
      </c>
      <c r="L39" s="734"/>
      <c r="M39" s="734"/>
      <c r="N39" s="735"/>
      <c r="O39" s="733">
        <v>8931</v>
      </c>
      <c r="P39" s="734"/>
      <c r="Q39" s="734"/>
      <c r="R39" s="735"/>
      <c r="S39" s="560"/>
      <c r="T39" s="890" t="s">
        <v>114</v>
      </c>
      <c r="U39" s="890" t="s">
        <v>115</v>
      </c>
      <c r="V39" s="569" t="s">
        <v>116</v>
      </c>
      <c r="W39" s="562"/>
      <c r="X39" s="563"/>
      <c r="Y39" s="550"/>
      <c r="Z39" s="408">
        <v>3219872</v>
      </c>
      <c r="AA39" s="460">
        <v>3168731</v>
      </c>
      <c r="AB39" s="460">
        <v>3705642</v>
      </c>
    </row>
    <row r="40" spans="1:28" s="523" customFormat="1" ht="29.25" customHeight="1">
      <c r="A40" s="894"/>
      <c r="B40" s="570" t="s">
        <v>198</v>
      </c>
      <c r="C40" s="571"/>
      <c r="D40" s="572" t="s">
        <v>118</v>
      </c>
      <c r="E40" s="531"/>
      <c r="F40" s="526"/>
      <c r="G40" s="907">
        <v>20746</v>
      </c>
      <c r="H40" s="887"/>
      <c r="I40" s="887"/>
      <c r="J40" s="888"/>
      <c r="K40" s="733">
        <v>20394</v>
      </c>
      <c r="L40" s="734"/>
      <c r="M40" s="734"/>
      <c r="N40" s="735"/>
      <c r="O40" s="733">
        <v>20675</v>
      </c>
      <c r="P40" s="734"/>
      <c r="Q40" s="734"/>
      <c r="R40" s="735"/>
      <c r="S40" s="536"/>
      <c r="T40" s="891"/>
      <c r="U40" s="891"/>
      <c r="V40" s="883" t="s">
        <v>180</v>
      </c>
      <c r="W40" s="520" t="s">
        <v>119</v>
      </c>
      <c r="X40" s="521"/>
      <c r="Y40" s="522"/>
      <c r="Z40" s="410">
        <v>7121088</v>
      </c>
      <c r="AA40" s="461">
        <v>7140823</v>
      </c>
      <c r="AB40" s="461">
        <v>7699528</v>
      </c>
    </row>
    <row r="41" spans="1:28" s="523" customFormat="1" ht="29.25" customHeight="1">
      <c r="A41" s="894"/>
      <c r="B41" s="573"/>
      <c r="C41" s="574"/>
      <c r="D41" s="575" t="s">
        <v>180</v>
      </c>
      <c r="E41" s="521" t="s">
        <v>120</v>
      </c>
      <c r="F41" s="526"/>
      <c r="G41" s="907">
        <v>1851</v>
      </c>
      <c r="H41" s="887"/>
      <c r="I41" s="887"/>
      <c r="J41" s="888"/>
      <c r="K41" s="733">
        <v>1864</v>
      </c>
      <c r="L41" s="734"/>
      <c r="M41" s="734"/>
      <c r="N41" s="735"/>
      <c r="O41" s="733">
        <v>1810</v>
      </c>
      <c r="P41" s="734"/>
      <c r="Q41" s="734"/>
      <c r="R41" s="735"/>
      <c r="S41" s="536"/>
      <c r="T41" s="891"/>
      <c r="U41" s="891"/>
      <c r="V41" s="889"/>
      <c r="W41" s="520" t="s">
        <v>121</v>
      </c>
      <c r="X41" s="533"/>
      <c r="Y41" s="576"/>
      <c r="Z41" s="410">
        <v>4210748</v>
      </c>
      <c r="AA41" s="461">
        <v>4297584</v>
      </c>
      <c r="AB41" s="461">
        <v>4328617</v>
      </c>
    </row>
    <row r="42" spans="1:28" s="523" customFormat="1" ht="29.25" customHeight="1">
      <c r="A42" s="894"/>
      <c r="B42" s="577" t="s">
        <v>122</v>
      </c>
      <c r="C42" s="578"/>
      <c r="D42" s="521" t="s">
        <v>123</v>
      </c>
      <c r="E42" s="531"/>
      <c r="F42" s="526"/>
      <c r="G42" s="907">
        <v>24889</v>
      </c>
      <c r="H42" s="887"/>
      <c r="I42" s="887"/>
      <c r="J42" s="888"/>
      <c r="K42" s="733">
        <v>24267</v>
      </c>
      <c r="L42" s="734"/>
      <c r="M42" s="734"/>
      <c r="N42" s="735"/>
      <c r="O42" s="733">
        <v>25697</v>
      </c>
      <c r="P42" s="734"/>
      <c r="Q42" s="734"/>
      <c r="R42" s="735"/>
      <c r="S42" s="536"/>
      <c r="T42" s="891"/>
      <c r="U42" s="891"/>
      <c r="V42" s="534" t="s">
        <v>124</v>
      </c>
      <c r="W42" s="520"/>
      <c r="X42" s="521"/>
      <c r="Y42" s="522"/>
      <c r="Z42" s="424">
        <v>690612</v>
      </c>
      <c r="AA42" s="471">
        <v>920331</v>
      </c>
      <c r="AB42" s="471">
        <v>1000625</v>
      </c>
    </row>
    <row r="43" spans="1:28" s="523" customFormat="1" ht="29.25" customHeight="1">
      <c r="A43" s="894"/>
      <c r="B43" s="577" t="s">
        <v>125</v>
      </c>
      <c r="C43" s="574"/>
      <c r="D43" s="905" t="s">
        <v>180</v>
      </c>
      <c r="E43" s="521" t="s">
        <v>126</v>
      </c>
      <c r="F43" s="526"/>
      <c r="G43" s="907">
        <v>13723</v>
      </c>
      <c r="H43" s="887"/>
      <c r="I43" s="887"/>
      <c r="J43" s="888"/>
      <c r="K43" s="733">
        <v>13675</v>
      </c>
      <c r="L43" s="734"/>
      <c r="M43" s="734"/>
      <c r="N43" s="735"/>
      <c r="O43" s="733">
        <v>14408</v>
      </c>
      <c r="P43" s="734"/>
      <c r="Q43" s="734"/>
      <c r="R43" s="735"/>
      <c r="S43" s="536"/>
      <c r="T43" s="891"/>
      <c r="U43" s="891"/>
      <c r="V43" s="883" t="s">
        <v>180</v>
      </c>
      <c r="W43" s="520" t="s">
        <v>127</v>
      </c>
      <c r="X43" s="521"/>
      <c r="Y43" s="522"/>
      <c r="Z43" s="410">
        <v>167728</v>
      </c>
      <c r="AA43" s="461">
        <v>394699</v>
      </c>
      <c r="AB43" s="461">
        <v>333982</v>
      </c>
    </row>
    <row r="44" spans="1:28" s="523" customFormat="1" ht="29.25" customHeight="1">
      <c r="A44" s="894"/>
      <c r="B44" s="579"/>
      <c r="C44" s="580" t="s">
        <v>128</v>
      </c>
      <c r="D44" s="906"/>
      <c r="E44" s="521" t="s">
        <v>129</v>
      </c>
      <c r="F44" s="526"/>
      <c r="G44" s="907">
        <v>1607</v>
      </c>
      <c r="H44" s="887"/>
      <c r="I44" s="887"/>
      <c r="J44" s="888"/>
      <c r="K44" s="733">
        <v>1659</v>
      </c>
      <c r="L44" s="734"/>
      <c r="M44" s="734"/>
      <c r="N44" s="735"/>
      <c r="O44" s="733">
        <v>1724</v>
      </c>
      <c r="P44" s="734"/>
      <c r="Q44" s="734"/>
      <c r="R44" s="735"/>
      <c r="S44" s="536"/>
      <c r="T44" s="891"/>
      <c r="U44" s="891"/>
      <c r="V44" s="884"/>
      <c r="W44" s="520" t="s">
        <v>130</v>
      </c>
      <c r="X44" s="521"/>
      <c r="Y44" s="522"/>
      <c r="Z44" s="426">
        <v>482490</v>
      </c>
      <c r="AA44" s="472">
        <v>484565</v>
      </c>
      <c r="AB44" s="472">
        <v>626136</v>
      </c>
    </row>
    <row r="45" spans="1:28" s="523" customFormat="1" ht="29.25" customHeight="1">
      <c r="A45" s="894"/>
      <c r="B45" s="579"/>
      <c r="C45" s="574"/>
      <c r="D45" s="573" t="s">
        <v>131</v>
      </c>
      <c r="E45" s="573"/>
      <c r="F45" s="536"/>
      <c r="G45" s="907">
        <v>854</v>
      </c>
      <c r="H45" s="887"/>
      <c r="I45" s="887"/>
      <c r="J45" s="888"/>
      <c r="K45" s="733">
        <v>1192</v>
      </c>
      <c r="L45" s="734"/>
      <c r="M45" s="734"/>
      <c r="N45" s="735"/>
      <c r="O45" s="733">
        <v>497</v>
      </c>
      <c r="P45" s="734"/>
      <c r="Q45" s="734"/>
      <c r="R45" s="735"/>
      <c r="S45" s="536"/>
      <c r="T45" s="891"/>
      <c r="U45" s="891"/>
      <c r="V45" s="889"/>
      <c r="W45" s="520" t="s">
        <v>132</v>
      </c>
      <c r="X45" s="521"/>
      <c r="Y45" s="522"/>
      <c r="Z45" s="410">
        <v>40394</v>
      </c>
      <c r="AA45" s="461">
        <v>41067</v>
      </c>
      <c r="AB45" s="461">
        <v>40507</v>
      </c>
    </row>
    <row r="46" spans="1:28" s="523" customFormat="1" ht="29.25" customHeight="1" thickBot="1">
      <c r="A46" s="894"/>
      <c r="B46" s="581" t="s">
        <v>133</v>
      </c>
      <c r="C46" s="555"/>
      <c r="D46" s="555"/>
      <c r="E46" s="531"/>
      <c r="F46" s="526" t="s">
        <v>134</v>
      </c>
      <c r="G46" s="907"/>
      <c r="H46" s="887"/>
      <c r="I46" s="887"/>
      <c r="J46" s="888"/>
      <c r="K46" s="733"/>
      <c r="L46" s="734"/>
      <c r="M46" s="734"/>
      <c r="N46" s="735"/>
      <c r="O46" s="733"/>
      <c r="P46" s="734"/>
      <c r="Q46" s="734"/>
      <c r="R46" s="735"/>
      <c r="S46" s="536"/>
      <c r="T46" s="891"/>
      <c r="U46" s="891"/>
      <c r="V46" s="582" t="s">
        <v>135</v>
      </c>
      <c r="W46" s="583"/>
      <c r="X46" s="584"/>
      <c r="Y46" s="585"/>
      <c r="Z46" s="424">
        <v>7588</v>
      </c>
      <c r="AA46" s="471">
        <v>9118</v>
      </c>
      <c r="AB46" s="471">
        <v>37574</v>
      </c>
    </row>
    <row r="47" spans="1:28" s="523" customFormat="1" ht="29.25" customHeight="1" thickBot="1">
      <c r="A47" s="894"/>
      <c r="B47" s="555" t="s">
        <v>136</v>
      </c>
      <c r="C47" s="555"/>
      <c r="D47" s="554"/>
      <c r="E47" s="521" t="s">
        <v>137</v>
      </c>
      <c r="F47" s="526"/>
      <c r="G47" s="907">
        <v>44379</v>
      </c>
      <c r="H47" s="887"/>
      <c r="I47" s="887"/>
      <c r="J47" s="888"/>
      <c r="K47" s="733">
        <v>44486</v>
      </c>
      <c r="L47" s="734"/>
      <c r="M47" s="734"/>
      <c r="N47" s="735"/>
      <c r="O47" s="733">
        <v>41270</v>
      </c>
      <c r="P47" s="734"/>
      <c r="Q47" s="734"/>
      <c r="R47" s="735"/>
      <c r="S47" s="536"/>
      <c r="T47" s="891"/>
      <c r="U47" s="892"/>
      <c r="V47" s="556" t="s">
        <v>138</v>
      </c>
      <c r="W47" s="557"/>
      <c r="X47" s="558"/>
      <c r="Y47" s="559"/>
      <c r="Z47" s="422">
        <f>Z39+Z42+Z46</f>
        <v>3918072</v>
      </c>
      <c r="AA47" s="470">
        <f>AA39+AA42+AA46</f>
        <v>4098180</v>
      </c>
      <c r="AB47" s="470">
        <f>AB39+AB42+AB46</f>
        <v>4743841</v>
      </c>
    </row>
    <row r="48" spans="1:28" s="523" customFormat="1" ht="29.25" customHeight="1" thickBot="1">
      <c r="A48" s="895"/>
      <c r="B48" s="538" t="s">
        <v>139</v>
      </c>
      <c r="C48" s="539"/>
      <c r="D48" s="586"/>
      <c r="E48" s="584" t="s">
        <v>140</v>
      </c>
      <c r="F48" s="587"/>
      <c r="G48" s="928">
        <v>50551</v>
      </c>
      <c r="H48" s="900"/>
      <c r="I48" s="900"/>
      <c r="J48" s="901"/>
      <c r="K48" s="742">
        <v>50258</v>
      </c>
      <c r="L48" s="743"/>
      <c r="M48" s="743"/>
      <c r="N48" s="744"/>
      <c r="O48" s="742">
        <v>48398</v>
      </c>
      <c r="P48" s="743"/>
      <c r="Q48" s="743"/>
      <c r="R48" s="744"/>
      <c r="S48" s="536"/>
      <c r="T48" s="891"/>
      <c r="U48" s="890" t="s">
        <v>141</v>
      </c>
      <c r="V48" s="569" t="s">
        <v>142</v>
      </c>
      <c r="W48" s="562"/>
      <c r="X48" s="563"/>
      <c r="Y48" s="550"/>
      <c r="Z48" s="408"/>
      <c r="AA48" s="460"/>
      <c r="AB48" s="460"/>
    </row>
    <row r="49" spans="1:28" s="523" customFormat="1" ht="29.25" customHeight="1">
      <c r="A49" s="893" t="s">
        <v>143</v>
      </c>
      <c r="B49" s="588" t="s">
        <v>54</v>
      </c>
      <c r="C49" s="529"/>
      <c r="D49" s="529"/>
      <c r="E49" s="525"/>
      <c r="F49" s="543"/>
      <c r="G49" s="896">
        <v>55.2</v>
      </c>
      <c r="H49" s="897"/>
      <c r="I49" s="897"/>
      <c r="J49" s="898"/>
      <c r="K49" s="727">
        <v>56.4</v>
      </c>
      <c r="L49" s="728"/>
      <c r="M49" s="728"/>
      <c r="N49" s="729"/>
      <c r="O49" s="727">
        <v>56.1</v>
      </c>
      <c r="P49" s="728"/>
      <c r="Q49" s="728"/>
      <c r="R49" s="729"/>
      <c r="S49" s="536"/>
      <c r="T49" s="891"/>
      <c r="U49" s="891"/>
      <c r="V49" s="534" t="s">
        <v>144</v>
      </c>
      <c r="W49" s="520"/>
      <c r="X49" s="521"/>
      <c r="Y49" s="522"/>
      <c r="Z49" s="410">
        <v>111407</v>
      </c>
      <c r="AA49" s="461">
        <v>168029</v>
      </c>
      <c r="AB49" s="461">
        <v>190090</v>
      </c>
    </row>
    <row r="50" spans="1:28" s="523" customFormat="1" ht="29.25" customHeight="1">
      <c r="A50" s="894"/>
      <c r="B50" s="535" t="s">
        <v>145</v>
      </c>
      <c r="C50" s="531"/>
      <c r="D50" s="531"/>
      <c r="E50" s="531"/>
      <c r="F50" s="526"/>
      <c r="G50" s="886">
        <v>0.7</v>
      </c>
      <c r="H50" s="887"/>
      <c r="I50" s="887"/>
      <c r="J50" s="888"/>
      <c r="K50" s="724">
        <v>0.7</v>
      </c>
      <c r="L50" s="725"/>
      <c r="M50" s="725"/>
      <c r="N50" s="726"/>
      <c r="O50" s="724">
        <v>0.6</v>
      </c>
      <c r="P50" s="725"/>
      <c r="Q50" s="725"/>
      <c r="R50" s="726"/>
      <c r="S50" s="536"/>
      <c r="T50" s="891"/>
      <c r="U50" s="891"/>
      <c r="V50" s="883" t="s">
        <v>180</v>
      </c>
      <c r="W50" s="520" t="s">
        <v>146</v>
      </c>
      <c r="X50" s="521"/>
      <c r="Y50" s="522"/>
      <c r="Z50" s="410"/>
      <c r="AA50" s="461"/>
      <c r="AB50" s="461"/>
    </row>
    <row r="51" spans="1:28" s="523" customFormat="1" ht="29.25" customHeight="1" thickBot="1">
      <c r="A51" s="894"/>
      <c r="B51" s="589" t="s">
        <v>63</v>
      </c>
      <c r="C51" s="573"/>
      <c r="D51" s="573"/>
      <c r="E51" s="573"/>
      <c r="F51" s="536"/>
      <c r="G51" s="886">
        <v>3.5</v>
      </c>
      <c r="H51" s="887"/>
      <c r="I51" s="887"/>
      <c r="J51" s="888"/>
      <c r="K51" s="724">
        <v>3.4</v>
      </c>
      <c r="L51" s="725"/>
      <c r="M51" s="725"/>
      <c r="N51" s="726"/>
      <c r="O51" s="724">
        <v>3.5</v>
      </c>
      <c r="P51" s="725"/>
      <c r="Q51" s="725"/>
      <c r="R51" s="726"/>
      <c r="S51" s="536"/>
      <c r="T51" s="891"/>
      <c r="U51" s="891"/>
      <c r="V51" s="885"/>
      <c r="W51" s="548" t="s">
        <v>147</v>
      </c>
      <c r="X51" s="544"/>
      <c r="Y51" s="549"/>
      <c r="Z51" s="420">
        <v>86229</v>
      </c>
      <c r="AA51" s="469">
        <v>140842</v>
      </c>
      <c r="AB51" s="469">
        <v>163727</v>
      </c>
    </row>
    <row r="52" spans="1:28" s="523" customFormat="1" ht="29.25" customHeight="1" thickBot="1">
      <c r="A52" s="894"/>
      <c r="B52" s="535" t="s">
        <v>148</v>
      </c>
      <c r="C52" s="531"/>
      <c r="D52" s="531"/>
      <c r="E52" s="531"/>
      <c r="F52" s="526"/>
      <c r="G52" s="886">
        <v>14.5</v>
      </c>
      <c r="H52" s="887"/>
      <c r="I52" s="887"/>
      <c r="J52" s="888"/>
      <c r="K52" s="724">
        <v>14.1</v>
      </c>
      <c r="L52" s="725"/>
      <c r="M52" s="725"/>
      <c r="N52" s="726"/>
      <c r="O52" s="724">
        <v>13.2</v>
      </c>
      <c r="P52" s="725"/>
      <c r="Q52" s="725"/>
      <c r="R52" s="726"/>
      <c r="S52" s="536"/>
      <c r="T52" s="891"/>
      <c r="U52" s="892"/>
      <c r="V52" s="586" t="s">
        <v>149</v>
      </c>
      <c r="W52" s="590"/>
      <c r="X52" s="591"/>
      <c r="Y52" s="592"/>
      <c r="Z52" s="428">
        <f>Z48+Z49</f>
        <v>111407</v>
      </c>
      <c r="AA52" s="473">
        <f>AA48+AA49</f>
        <v>168029</v>
      </c>
      <c r="AB52" s="473">
        <f>AB48+AB49</f>
        <v>190090</v>
      </c>
    </row>
    <row r="53" spans="1:28" s="523" customFormat="1" ht="29.25" customHeight="1" thickBot="1">
      <c r="A53" s="895"/>
      <c r="B53" s="538" t="s">
        <v>150</v>
      </c>
      <c r="C53" s="539"/>
      <c r="D53" s="539"/>
      <c r="E53" s="539"/>
      <c r="F53" s="540"/>
      <c r="G53" s="899">
        <v>26.1</v>
      </c>
      <c r="H53" s="900"/>
      <c r="I53" s="900"/>
      <c r="J53" s="901"/>
      <c r="K53" s="730">
        <v>25.4</v>
      </c>
      <c r="L53" s="731"/>
      <c r="M53" s="731"/>
      <c r="N53" s="732"/>
      <c r="O53" s="730">
        <v>26.6</v>
      </c>
      <c r="P53" s="731"/>
      <c r="Q53" s="731"/>
      <c r="R53" s="732"/>
      <c r="S53" s="536"/>
      <c r="T53" s="891"/>
      <c r="U53" s="890" t="s">
        <v>151</v>
      </c>
      <c r="V53" s="569" t="s">
        <v>152</v>
      </c>
      <c r="W53" s="562"/>
      <c r="X53" s="563"/>
      <c r="Y53" s="550"/>
      <c r="Z53" s="408">
        <v>7123081</v>
      </c>
      <c r="AA53" s="460">
        <v>7095217</v>
      </c>
      <c r="AB53" s="460">
        <v>7493404</v>
      </c>
    </row>
    <row r="54" spans="1:28" s="523" customFormat="1" ht="29.25" customHeight="1">
      <c r="A54" s="893" t="s">
        <v>153</v>
      </c>
      <c r="B54" s="524" t="s">
        <v>154</v>
      </c>
      <c r="C54" s="525"/>
      <c r="D54" s="525"/>
      <c r="E54" s="525"/>
      <c r="F54" s="543"/>
      <c r="G54" s="896">
        <v>55.7</v>
      </c>
      <c r="H54" s="897"/>
      <c r="I54" s="897"/>
      <c r="J54" s="898"/>
      <c r="K54" s="727">
        <v>61.2</v>
      </c>
      <c r="L54" s="728"/>
      <c r="M54" s="728"/>
      <c r="N54" s="729"/>
      <c r="O54" s="727">
        <v>61.5</v>
      </c>
      <c r="P54" s="728"/>
      <c r="Q54" s="728"/>
      <c r="R54" s="729"/>
      <c r="S54" s="536"/>
      <c r="T54" s="891"/>
      <c r="U54" s="891"/>
      <c r="V54" s="883" t="s">
        <v>32</v>
      </c>
      <c r="W54" s="520" t="s">
        <v>155</v>
      </c>
      <c r="X54" s="521"/>
      <c r="Y54" s="522"/>
      <c r="Z54" s="410">
        <v>5497840</v>
      </c>
      <c r="AA54" s="461">
        <v>5673309</v>
      </c>
      <c r="AB54" s="461">
        <v>5856025</v>
      </c>
    </row>
    <row r="55" spans="1:28" s="523" customFormat="1" ht="29.25" customHeight="1">
      <c r="A55" s="894"/>
      <c r="B55" s="535" t="s">
        <v>156</v>
      </c>
      <c r="C55" s="531"/>
      <c r="D55" s="531"/>
      <c r="E55" s="531"/>
      <c r="F55" s="593"/>
      <c r="G55" s="886">
        <v>619.9</v>
      </c>
      <c r="H55" s="887"/>
      <c r="I55" s="887"/>
      <c r="J55" s="888"/>
      <c r="K55" s="724">
        <v>547.7</v>
      </c>
      <c r="L55" s="725"/>
      <c r="M55" s="725"/>
      <c r="N55" s="726"/>
      <c r="O55" s="724">
        <v>526.4</v>
      </c>
      <c r="P55" s="725"/>
      <c r="Q55" s="725"/>
      <c r="R55" s="726"/>
      <c r="S55" s="536"/>
      <c r="T55" s="891"/>
      <c r="U55" s="891"/>
      <c r="V55" s="884"/>
      <c r="W55" s="520" t="s">
        <v>85</v>
      </c>
      <c r="X55" s="521"/>
      <c r="Y55" s="522"/>
      <c r="Z55" s="410">
        <v>1625241</v>
      </c>
      <c r="AA55" s="461">
        <v>1421908</v>
      </c>
      <c r="AB55" s="461">
        <v>1637379</v>
      </c>
    </row>
    <row r="56" spans="1:28" s="523" customFormat="1" ht="29.25" customHeight="1">
      <c r="A56" s="894"/>
      <c r="B56" s="535" t="s">
        <v>157</v>
      </c>
      <c r="C56" s="531"/>
      <c r="D56" s="531"/>
      <c r="E56" s="531"/>
      <c r="F56" s="593"/>
      <c r="G56" s="886">
        <v>103.5</v>
      </c>
      <c r="H56" s="887"/>
      <c r="I56" s="887"/>
      <c r="J56" s="888"/>
      <c r="K56" s="724">
        <v>105</v>
      </c>
      <c r="L56" s="725"/>
      <c r="M56" s="725"/>
      <c r="N56" s="726"/>
      <c r="O56" s="724">
        <v>102</v>
      </c>
      <c r="P56" s="725"/>
      <c r="Q56" s="725"/>
      <c r="R56" s="726"/>
      <c r="S56" s="536"/>
      <c r="T56" s="891"/>
      <c r="U56" s="891"/>
      <c r="V56" s="889"/>
      <c r="W56" s="520" t="s">
        <v>158</v>
      </c>
      <c r="X56" s="521"/>
      <c r="Y56" s="522"/>
      <c r="Z56" s="410"/>
      <c r="AA56" s="461"/>
      <c r="AB56" s="461"/>
    </row>
    <row r="57" spans="1:28" s="523" customFormat="1" ht="29.25" customHeight="1">
      <c r="A57" s="894"/>
      <c r="B57" s="535" t="s">
        <v>159</v>
      </c>
      <c r="C57" s="531"/>
      <c r="D57" s="531"/>
      <c r="E57" s="531"/>
      <c r="F57" s="593"/>
      <c r="G57" s="886">
        <v>87.8</v>
      </c>
      <c r="H57" s="887"/>
      <c r="I57" s="887"/>
      <c r="J57" s="888"/>
      <c r="K57" s="724">
        <v>88.5</v>
      </c>
      <c r="L57" s="725"/>
      <c r="M57" s="725"/>
      <c r="N57" s="726"/>
      <c r="O57" s="724">
        <v>85.3</v>
      </c>
      <c r="P57" s="725"/>
      <c r="Q57" s="725"/>
      <c r="R57" s="726"/>
      <c r="S57" s="536"/>
      <c r="T57" s="891"/>
      <c r="U57" s="891"/>
      <c r="V57" s="534" t="s">
        <v>160</v>
      </c>
      <c r="W57" s="520"/>
      <c r="X57" s="521"/>
      <c r="Y57" s="522"/>
      <c r="Z57" s="477">
        <v>-3316416</v>
      </c>
      <c r="AA57" s="620">
        <v>-3165066</v>
      </c>
      <c r="AB57" s="620">
        <v>-2939653</v>
      </c>
    </row>
    <row r="58" spans="1:28" s="523" customFormat="1" ht="29.25" customHeight="1">
      <c r="A58" s="894"/>
      <c r="B58" s="535" t="s">
        <v>161</v>
      </c>
      <c r="C58" s="531"/>
      <c r="D58" s="531"/>
      <c r="E58" s="531"/>
      <c r="F58" s="593"/>
      <c r="G58" s="886">
        <v>144.9</v>
      </c>
      <c r="H58" s="887"/>
      <c r="I58" s="887"/>
      <c r="J58" s="888"/>
      <c r="K58" s="724">
        <v>139.2</v>
      </c>
      <c r="L58" s="725"/>
      <c r="M58" s="725"/>
      <c r="N58" s="726"/>
      <c r="O58" s="724">
        <v>147.7</v>
      </c>
      <c r="P58" s="725"/>
      <c r="Q58" s="725"/>
      <c r="R58" s="726"/>
      <c r="S58" s="536"/>
      <c r="T58" s="891"/>
      <c r="U58" s="891"/>
      <c r="V58" s="883" t="s">
        <v>32</v>
      </c>
      <c r="W58" s="520" t="s">
        <v>162</v>
      </c>
      <c r="X58" s="521"/>
      <c r="Y58" s="522"/>
      <c r="Z58" s="410">
        <v>915977</v>
      </c>
      <c r="AA58" s="461">
        <v>900626</v>
      </c>
      <c r="AB58" s="461">
        <v>1062852</v>
      </c>
    </row>
    <row r="59" spans="1:28" s="523" customFormat="1" ht="29.25" customHeight="1">
      <c r="A59" s="894"/>
      <c r="B59" s="535" t="s">
        <v>163</v>
      </c>
      <c r="C59" s="531"/>
      <c r="D59" s="531"/>
      <c r="E59" s="531"/>
      <c r="F59" s="593"/>
      <c r="G59" s="886"/>
      <c r="H59" s="887"/>
      <c r="I59" s="887"/>
      <c r="J59" s="888"/>
      <c r="K59" s="724"/>
      <c r="L59" s="725"/>
      <c r="M59" s="725"/>
      <c r="N59" s="726"/>
      <c r="O59" s="724"/>
      <c r="P59" s="725"/>
      <c r="Q59" s="725"/>
      <c r="R59" s="726"/>
      <c r="S59" s="536"/>
      <c r="T59" s="891"/>
      <c r="U59" s="891"/>
      <c r="V59" s="884"/>
      <c r="W59" s="520" t="s">
        <v>164</v>
      </c>
      <c r="X59" s="521"/>
      <c r="Y59" s="522"/>
      <c r="Z59" s="410">
        <v>3000</v>
      </c>
      <c r="AA59" s="461">
        <v>3000</v>
      </c>
      <c r="AB59" s="461">
        <v>3000</v>
      </c>
    </row>
    <row r="60" spans="1:28" s="523" customFormat="1" ht="29.25" customHeight="1" thickBot="1">
      <c r="A60" s="894"/>
      <c r="B60" s="902" t="s">
        <v>165</v>
      </c>
      <c r="C60" s="521" t="s">
        <v>166</v>
      </c>
      <c r="D60" s="531"/>
      <c r="E60" s="531"/>
      <c r="F60" s="593"/>
      <c r="G60" s="886">
        <v>7.6</v>
      </c>
      <c r="H60" s="887"/>
      <c r="I60" s="887"/>
      <c r="J60" s="888"/>
      <c r="K60" s="724">
        <v>7</v>
      </c>
      <c r="L60" s="725"/>
      <c r="M60" s="725"/>
      <c r="N60" s="726"/>
      <c r="O60" s="724">
        <v>7.2</v>
      </c>
      <c r="P60" s="725"/>
      <c r="Q60" s="725"/>
      <c r="R60" s="726"/>
      <c r="S60" s="536"/>
      <c r="T60" s="891"/>
      <c r="U60" s="891"/>
      <c r="V60" s="885"/>
      <c r="W60" s="544" t="s">
        <v>167</v>
      </c>
      <c r="X60" s="594"/>
      <c r="Y60" s="595"/>
      <c r="Z60" s="483">
        <v>-4235393</v>
      </c>
      <c r="AA60" s="619">
        <v>-4068692</v>
      </c>
      <c r="AB60" s="619">
        <v>-4005505</v>
      </c>
    </row>
    <row r="61" spans="1:28" s="523" customFormat="1" ht="29.25" customHeight="1" thickBot="1">
      <c r="A61" s="894"/>
      <c r="B61" s="903"/>
      <c r="C61" s="521" t="s">
        <v>168</v>
      </c>
      <c r="D61" s="531"/>
      <c r="E61" s="531"/>
      <c r="F61" s="593"/>
      <c r="G61" s="886">
        <v>0.9</v>
      </c>
      <c r="H61" s="887"/>
      <c r="I61" s="887"/>
      <c r="J61" s="888"/>
      <c r="K61" s="724">
        <v>0.8</v>
      </c>
      <c r="L61" s="725"/>
      <c r="M61" s="725"/>
      <c r="N61" s="726"/>
      <c r="O61" s="724">
        <v>0.7</v>
      </c>
      <c r="P61" s="725"/>
      <c r="Q61" s="725"/>
      <c r="R61" s="726"/>
      <c r="S61" s="536"/>
      <c r="T61" s="892"/>
      <c r="U61" s="892"/>
      <c r="V61" s="586" t="s">
        <v>169</v>
      </c>
      <c r="W61" s="590"/>
      <c r="X61" s="591"/>
      <c r="Y61" s="592"/>
      <c r="Z61" s="428">
        <f>Z53+Z57</f>
        <v>3806665</v>
      </c>
      <c r="AA61" s="473">
        <f>AA53+AA57</f>
        <v>3930151</v>
      </c>
      <c r="AB61" s="473">
        <f>AB53+AB57</f>
        <v>4553751</v>
      </c>
    </row>
    <row r="62" spans="1:28" s="523" customFormat="1" ht="29.25" customHeight="1">
      <c r="A62" s="894"/>
      <c r="B62" s="903"/>
      <c r="C62" s="521" t="s">
        <v>170</v>
      </c>
      <c r="D62" s="531"/>
      <c r="E62" s="531"/>
      <c r="F62" s="593"/>
      <c r="G62" s="886">
        <v>8.5</v>
      </c>
      <c r="H62" s="887"/>
      <c r="I62" s="887"/>
      <c r="J62" s="888"/>
      <c r="K62" s="724">
        <v>7.7</v>
      </c>
      <c r="L62" s="725"/>
      <c r="M62" s="725"/>
      <c r="N62" s="726"/>
      <c r="O62" s="724">
        <v>7.9</v>
      </c>
      <c r="P62" s="725"/>
      <c r="Q62" s="725"/>
      <c r="R62" s="726"/>
      <c r="S62" s="560"/>
      <c r="T62" s="596"/>
      <c r="U62" s="573"/>
      <c r="V62" s="573"/>
      <c r="W62" s="573"/>
      <c r="X62" s="573"/>
      <c r="Y62" s="573"/>
      <c r="Z62" s="573"/>
      <c r="AA62" s="573"/>
      <c r="AB62" s="573"/>
    </row>
    <row r="63" spans="1:28" s="523" customFormat="1" ht="29.25" customHeight="1">
      <c r="A63" s="894"/>
      <c r="B63" s="903"/>
      <c r="C63" s="521" t="s">
        <v>54</v>
      </c>
      <c r="D63" s="531"/>
      <c r="E63" s="531"/>
      <c r="F63" s="593"/>
      <c r="G63" s="886">
        <v>64.7</v>
      </c>
      <c r="H63" s="887"/>
      <c r="I63" s="887"/>
      <c r="J63" s="888"/>
      <c r="K63" s="724">
        <v>65.4</v>
      </c>
      <c r="L63" s="725"/>
      <c r="M63" s="725"/>
      <c r="N63" s="726"/>
      <c r="O63" s="724">
        <v>67.5</v>
      </c>
      <c r="P63" s="725"/>
      <c r="Q63" s="725"/>
      <c r="R63" s="726"/>
      <c r="S63" s="560"/>
      <c r="T63" s="492"/>
      <c r="U63" s="492"/>
      <c r="V63" s="492"/>
      <c r="W63" s="492"/>
      <c r="X63" s="492"/>
      <c r="Y63" s="492"/>
      <c r="Z63" s="492"/>
      <c r="AA63" s="492"/>
      <c r="AB63" s="492"/>
    </row>
    <row r="64" spans="1:19" ht="29.25" customHeight="1" thickBot="1">
      <c r="A64" s="895"/>
      <c r="B64" s="904"/>
      <c r="C64" s="544" t="s">
        <v>171</v>
      </c>
      <c r="D64" s="545"/>
      <c r="E64" s="597"/>
      <c r="F64" s="598"/>
      <c r="G64" s="899">
        <v>17</v>
      </c>
      <c r="H64" s="900"/>
      <c r="I64" s="900"/>
      <c r="J64" s="901"/>
      <c r="K64" s="730">
        <v>16.3</v>
      </c>
      <c r="L64" s="731"/>
      <c r="M64" s="731"/>
      <c r="N64" s="732"/>
      <c r="O64" s="730">
        <v>15.9</v>
      </c>
      <c r="P64" s="731"/>
      <c r="Q64" s="731"/>
      <c r="R64" s="732"/>
      <c r="S64" s="560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423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18267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22372</v>
      </c>
      <c r="H6" s="691"/>
      <c r="I6" s="691"/>
      <c r="J6" s="691"/>
      <c r="K6" s="691"/>
      <c r="L6" s="693" t="s">
        <v>10</v>
      </c>
      <c r="M6" s="693"/>
      <c r="N6" s="693"/>
      <c r="O6" s="17">
        <v>10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1343779</v>
      </c>
      <c r="AA6" s="27">
        <f>AA7+AA14</f>
        <v>1361878</v>
      </c>
      <c r="AB6" s="28">
        <f>AB7+AB14</f>
        <v>1053359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199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1342807</v>
      </c>
      <c r="AA7" s="35">
        <f>AA8+AA12</f>
        <v>1361583</v>
      </c>
      <c r="AB7" s="36">
        <f>AB8+AB12</f>
        <v>1053359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4" t="s">
        <v>200</v>
      </c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6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/>
      <c r="AA8" s="35"/>
      <c r="AB8" s="36"/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/>
      <c r="AA9" s="35"/>
      <c r="AB9" s="36"/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350</v>
      </c>
      <c r="H10" s="49" t="s">
        <v>181</v>
      </c>
      <c r="I10" s="50">
        <v>53</v>
      </c>
      <c r="J10" s="51" t="s">
        <v>173</v>
      </c>
      <c r="K10" s="52">
        <v>350</v>
      </c>
      <c r="L10" s="53" t="s">
        <v>181</v>
      </c>
      <c r="M10" s="48">
        <v>76</v>
      </c>
      <c r="N10" s="51" t="s">
        <v>173</v>
      </c>
      <c r="O10" s="52">
        <v>350</v>
      </c>
      <c r="P10" s="53" t="s">
        <v>181</v>
      </c>
      <c r="Q10" s="48">
        <v>128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/>
      <c r="AA10" s="35"/>
      <c r="AB10" s="36"/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200</v>
      </c>
      <c r="H11" s="59" t="s">
        <v>181</v>
      </c>
      <c r="I11" s="60">
        <v>53</v>
      </c>
      <c r="J11" s="61" t="s">
        <v>173</v>
      </c>
      <c r="K11" s="62">
        <v>200</v>
      </c>
      <c r="L11" s="63" t="s">
        <v>181</v>
      </c>
      <c r="M11" s="58">
        <v>53</v>
      </c>
      <c r="N11" s="61" t="s">
        <v>173</v>
      </c>
      <c r="O11" s="62">
        <v>200</v>
      </c>
      <c r="P11" s="63" t="s">
        <v>181</v>
      </c>
      <c r="Q11" s="58">
        <v>105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>
        <v>23</v>
      </c>
      <c r="H12" s="59" t="s">
        <v>181</v>
      </c>
      <c r="I12" s="60"/>
      <c r="J12" s="64" t="s">
        <v>173</v>
      </c>
      <c r="K12" s="62">
        <v>23</v>
      </c>
      <c r="L12" s="63" t="s">
        <v>181</v>
      </c>
      <c r="M12" s="58">
        <v>23</v>
      </c>
      <c r="N12" s="61" t="s">
        <v>173</v>
      </c>
      <c r="O12" s="62">
        <v>23</v>
      </c>
      <c r="P12" s="63" t="s">
        <v>181</v>
      </c>
      <c r="Q12" s="58">
        <v>23</v>
      </c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1342807</v>
      </c>
      <c r="AA12" s="35">
        <v>1361583</v>
      </c>
      <c r="AB12" s="36">
        <v>1053359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>
        <v>20</v>
      </c>
      <c r="H13" s="59" t="s">
        <v>181</v>
      </c>
      <c r="I13" s="60"/>
      <c r="J13" s="64" t="s">
        <v>173</v>
      </c>
      <c r="K13" s="62">
        <v>20</v>
      </c>
      <c r="L13" s="63" t="s">
        <v>181</v>
      </c>
      <c r="M13" s="58"/>
      <c r="N13" s="61" t="s">
        <v>173</v>
      </c>
      <c r="O13" s="62">
        <v>20</v>
      </c>
      <c r="P13" s="63" t="s">
        <v>181</v>
      </c>
      <c r="Q13" s="58">
        <v>0</v>
      </c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1340842</v>
      </c>
      <c r="AA13" s="35">
        <v>1355597</v>
      </c>
      <c r="AB13" s="36">
        <v>1047389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>
        <v>107</v>
      </c>
      <c r="H14" s="59" t="s">
        <v>181</v>
      </c>
      <c r="I14" s="60"/>
      <c r="J14" s="64" t="s">
        <v>173</v>
      </c>
      <c r="K14" s="62">
        <v>107</v>
      </c>
      <c r="L14" s="63" t="s">
        <v>181</v>
      </c>
      <c r="M14" s="58"/>
      <c r="N14" s="61" t="s">
        <v>173</v>
      </c>
      <c r="O14" s="62">
        <v>107</v>
      </c>
      <c r="P14" s="63" t="s">
        <v>181</v>
      </c>
      <c r="Q14" s="58">
        <v>0</v>
      </c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972</v>
      </c>
      <c r="AA14" s="35">
        <v>295</v>
      </c>
      <c r="AB14" s="36">
        <v>0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 t="s">
        <v>201</v>
      </c>
      <c r="J15" s="61" t="s">
        <v>173</v>
      </c>
      <c r="K15" s="62"/>
      <c r="L15" s="63" t="s">
        <v>181</v>
      </c>
      <c r="M15" s="58" t="s">
        <v>201</v>
      </c>
      <c r="N15" s="61" t="s">
        <v>173</v>
      </c>
      <c r="O15" s="62">
        <v>0</v>
      </c>
      <c r="P15" s="63" t="s">
        <v>181</v>
      </c>
      <c r="Q15" s="58">
        <v>0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1349974</v>
      </c>
      <c r="AA15" s="35">
        <f>AA16+AA23</f>
        <v>1361878</v>
      </c>
      <c r="AB15" s="36">
        <f>AB16+AB23</f>
        <v>1053359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/>
      <c r="H16" s="673"/>
      <c r="I16" s="673"/>
      <c r="J16" s="674"/>
      <c r="K16" s="675"/>
      <c r="L16" s="673"/>
      <c r="M16" s="673"/>
      <c r="N16" s="674"/>
      <c r="O16" s="675"/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1346637</v>
      </c>
      <c r="AA16" s="35">
        <f>AA17+AA21</f>
        <v>1361878</v>
      </c>
      <c r="AB16" s="36">
        <f>AB17+AB21</f>
        <v>1053359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/>
      <c r="H17" s="677"/>
      <c r="I17" s="677"/>
      <c r="J17" s="678"/>
      <c r="K17" s="679"/>
      <c r="L17" s="677"/>
      <c r="M17" s="677"/>
      <c r="N17" s="678"/>
      <c r="O17" s="679"/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1331061</v>
      </c>
      <c r="AA17" s="35">
        <v>1299314</v>
      </c>
      <c r="AB17" s="36">
        <v>1045529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18960</v>
      </c>
      <c r="H18" s="663"/>
      <c r="I18" s="663"/>
      <c r="J18" s="664"/>
      <c r="K18" s="665">
        <v>18960</v>
      </c>
      <c r="L18" s="663"/>
      <c r="M18" s="663"/>
      <c r="N18" s="664"/>
      <c r="O18" s="665">
        <v>18960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13235</v>
      </c>
      <c r="AA18" s="35">
        <v>7623</v>
      </c>
      <c r="AB18" s="36">
        <v>7431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/>
      <c r="AA19" s="35"/>
      <c r="AB19" s="36"/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2</v>
      </c>
      <c r="H20" s="85" t="s">
        <v>181</v>
      </c>
      <c r="I20" s="177">
        <f>G20/G10*100</f>
        <v>0.5714285714285714</v>
      </c>
      <c r="J20" s="87" t="s">
        <v>173</v>
      </c>
      <c r="K20" s="88">
        <v>1</v>
      </c>
      <c r="L20" s="89" t="s">
        <v>181</v>
      </c>
      <c r="M20" s="177">
        <f>K20/K10*100</f>
        <v>0.2857142857142857</v>
      </c>
      <c r="N20" s="87" t="s">
        <v>173</v>
      </c>
      <c r="O20" s="88">
        <v>1</v>
      </c>
      <c r="P20" s="89" t="s">
        <v>181</v>
      </c>
      <c r="Q20" s="177">
        <f>O20/O10*100</f>
        <v>0.2857142857142857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110544</v>
      </c>
      <c r="AA20" s="35">
        <v>115035</v>
      </c>
      <c r="AB20" s="36">
        <v>117769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/>
      <c r="H21" s="85" t="s">
        <v>181</v>
      </c>
      <c r="I21" s="91">
        <f>G21/G10*100</f>
        <v>0</v>
      </c>
      <c r="J21" s="87" t="s">
        <v>173</v>
      </c>
      <c r="K21" s="88"/>
      <c r="L21" s="89" t="s">
        <v>181</v>
      </c>
      <c r="M21" s="91">
        <f>K21/K10*100</f>
        <v>0</v>
      </c>
      <c r="N21" s="87" t="s">
        <v>173</v>
      </c>
      <c r="O21" s="88"/>
      <c r="P21" s="89" t="s">
        <v>181</v>
      </c>
      <c r="Q21" s="91">
        <f>O21/O10*100</f>
        <v>0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15576</v>
      </c>
      <c r="AA21" s="35">
        <v>62564</v>
      </c>
      <c r="AB21" s="36">
        <v>7830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/>
      <c r="H22" s="85" t="s">
        <v>181</v>
      </c>
      <c r="I22" s="91">
        <f>G22/G10*100</f>
        <v>0</v>
      </c>
      <c r="J22" s="87" t="s">
        <v>173</v>
      </c>
      <c r="K22" s="88"/>
      <c r="L22" s="89" t="s">
        <v>181</v>
      </c>
      <c r="M22" s="91">
        <f>K22/K10*100</f>
        <v>0</v>
      </c>
      <c r="N22" s="87" t="s">
        <v>173</v>
      </c>
      <c r="O22" s="88"/>
      <c r="P22" s="89" t="s">
        <v>181</v>
      </c>
      <c r="Q22" s="91">
        <f>O22/O10*100</f>
        <v>0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15576</v>
      </c>
      <c r="AA22" s="35">
        <v>10412</v>
      </c>
      <c r="AB22" s="36">
        <v>7830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2</v>
      </c>
      <c r="H23" s="77" t="s">
        <v>181</v>
      </c>
      <c r="I23" s="96">
        <f>G23/G10*100</f>
        <v>0.5714285714285714</v>
      </c>
      <c r="J23" s="97" t="s">
        <v>173</v>
      </c>
      <c r="K23" s="98">
        <v>1</v>
      </c>
      <c r="L23" s="99" t="s">
        <v>181</v>
      </c>
      <c r="M23" s="96">
        <f>K23/K10*100</f>
        <v>0.2857142857142857</v>
      </c>
      <c r="N23" s="97" t="s">
        <v>173</v>
      </c>
      <c r="O23" s="98">
        <v>1</v>
      </c>
      <c r="P23" s="99" t="s">
        <v>181</v>
      </c>
      <c r="Q23" s="96">
        <f>O23/O10*100</f>
        <v>0.2857142857142857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3337</v>
      </c>
      <c r="AA23" s="35"/>
      <c r="AB23" s="36">
        <v>0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G30/(G10*365)*100</f>
        <v>3.4739726027397264</v>
      </c>
      <c r="H24" s="696"/>
      <c r="I24" s="696"/>
      <c r="J24" s="697"/>
      <c r="K24" s="698">
        <f>K30/(K10*365)*100</f>
        <v>10.230136986301371</v>
      </c>
      <c r="L24" s="696"/>
      <c r="M24" s="696"/>
      <c r="N24" s="697"/>
      <c r="O24" s="698">
        <f>O30/(O10*365)*100</f>
        <v>18.381996086105676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-3830</v>
      </c>
      <c r="AA24" s="179">
        <f>AA7-AA16</f>
        <v>-295</v>
      </c>
      <c r="AB24" s="180">
        <f>AB7-AB16</f>
        <v>0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22.9</v>
      </c>
      <c r="H25" s="624"/>
      <c r="I25" s="624"/>
      <c r="J25" s="625"/>
      <c r="K25" s="626">
        <v>53.3</v>
      </c>
      <c r="L25" s="624"/>
      <c r="M25" s="624"/>
      <c r="N25" s="625"/>
      <c r="O25" s="626">
        <v>56.4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-6195</v>
      </c>
      <c r="AA25" s="182">
        <f>AA6-AA15</f>
        <v>0</v>
      </c>
      <c r="AB25" s="183">
        <f>AB6-AB15</f>
        <v>0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22.9</v>
      </c>
      <c r="H26" s="624"/>
      <c r="I26" s="624"/>
      <c r="J26" s="625"/>
      <c r="K26" s="626">
        <v>53.3</v>
      </c>
      <c r="L26" s="624"/>
      <c r="M26" s="624"/>
      <c r="N26" s="625"/>
      <c r="O26" s="626">
        <v>56.4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319019</v>
      </c>
      <c r="AA26" s="27">
        <v>253120</v>
      </c>
      <c r="AB26" s="28">
        <v>166511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23.9</v>
      </c>
      <c r="H27" s="624"/>
      <c r="I27" s="624"/>
      <c r="J27" s="625"/>
      <c r="K27" s="626">
        <v>17.9</v>
      </c>
      <c r="L27" s="624"/>
      <c r="M27" s="624"/>
      <c r="N27" s="625"/>
      <c r="O27" s="626">
        <v>14.9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39400</v>
      </c>
      <c r="AA27" s="35"/>
      <c r="AB27" s="36"/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12</v>
      </c>
      <c r="H28" s="648"/>
      <c r="I28" s="648"/>
      <c r="J28" s="649"/>
      <c r="K28" s="650">
        <v>35.8</v>
      </c>
      <c r="L28" s="648"/>
      <c r="M28" s="648"/>
      <c r="N28" s="649"/>
      <c r="O28" s="650">
        <v>64.3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169369</v>
      </c>
      <c r="AA28" s="35">
        <v>187611</v>
      </c>
      <c r="AB28" s="36">
        <v>165719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164.6</v>
      </c>
      <c r="H29" s="648"/>
      <c r="I29" s="648"/>
      <c r="J29" s="649"/>
      <c r="K29" s="650">
        <v>280.4</v>
      </c>
      <c r="L29" s="648"/>
      <c r="M29" s="648"/>
      <c r="N29" s="649"/>
      <c r="O29" s="650">
        <v>320.7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476224</v>
      </c>
      <c r="AA29" s="35">
        <v>375450</v>
      </c>
      <c r="AB29" s="36">
        <v>288443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4438</v>
      </c>
      <c r="H30" s="656"/>
      <c r="I30" s="656"/>
      <c r="J30" s="657"/>
      <c r="K30" s="658">
        <v>13069</v>
      </c>
      <c r="L30" s="656"/>
      <c r="M30" s="656"/>
      <c r="N30" s="657"/>
      <c r="O30" s="658">
        <v>23483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111942</v>
      </c>
      <c r="AA30" s="35">
        <v>65510</v>
      </c>
      <c r="AB30" s="36"/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44123</v>
      </c>
      <c r="H31" s="656"/>
      <c r="I31" s="656"/>
      <c r="J31" s="657"/>
      <c r="K31" s="658">
        <v>70396</v>
      </c>
      <c r="L31" s="656"/>
      <c r="M31" s="656"/>
      <c r="N31" s="657"/>
      <c r="O31" s="658">
        <v>80491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314282</v>
      </c>
      <c r="AA31" s="35">
        <v>259940</v>
      </c>
      <c r="AB31" s="36">
        <v>238443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994.2</v>
      </c>
      <c r="H32" s="624"/>
      <c r="I32" s="624"/>
      <c r="J32" s="625"/>
      <c r="K32" s="626">
        <v>538.6</v>
      </c>
      <c r="L32" s="624"/>
      <c r="M32" s="624"/>
      <c r="N32" s="625"/>
      <c r="O32" s="626">
        <v>342.8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-157205</v>
      </c>
      <c r="AA32" s="179">
        <f>AA26-AA29</f>
        <v>-122330</v>
      </c>
      <c r="AB32" s="180">
        <f>AB26-AB29</f>
        <v>-121932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/>
      <c r="H33" s="656"/>
      <c r="I33" s="656"/>
      <c r="J33" s="657"/>
      <c r="K33" s="658"/>
      <c r="L33" s="656"/>
      <c r="M33" s="656"/>
      <c r="N33" s="657"/>
      <c r="O33" s="658"/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157205</v>
      </c>
      <c r="AA33" s="35">
        <v>122330</v>
      </c>
      <c r="AB33" s="36">
        <v>121932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/>
      <c r="H34" s="624"/>
      <c r="I34" s="624"/>
      <c r="J34" s="625"/>
      <c r="K34" s="626"/>
      <c r="L34" s="624"/>
      <c r="M34" s="624"/>
      <c r="N34" s="625"/>
      <c r="O34" s="626"/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/>
      <c r="H35" s="624"/>
      <c r="I35" s="624"/>
      <c r="J35" s="625"/>
      <c r="K35" s="626"/>
      <c r="L35" s="624"/>
      <c r="M35" s="624"/>
      <c r="N35" s="625"/>
      <c r="O35" s="626"/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38925</v>
      </c>
      <c r="AA35" s="123">
        <v>42044</v>
      </c>
      <c r="AB35" s="117">
        <v>38925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/>
      <c r="H36" s="648"/>
      <c r="I36" s="648"/>
      <c r="J36" s="649"/>
      <c r="K36" s="650"/>
      <c r="L36" s="648"/>
      <c r="M36" s="648"/>
      <c r="N36" s="649"/>
      <c r="O36" s="650"/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1510211</v>
      </c>
      <c r="AA36" s="27">
        <v>1543208</v>
      </c>
      <c r="AB36" s="28">
        <v>1213108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/>
      <c r="H37" s="624"/>
      <c r="I37" s="624"/>
      <c r="J37" s="625"/>
      <c r="K37" s="626"/>
      <c r="L37" s="624"/>
      <c r="M37" s="624"/>
      <c r="N37" s="625"/>
      <c r="O37" s="626"/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177653</v>
      </c>
      <c r="AA37" s="132">
        <v>177057</v>
      </c>
      <c r="AB37" s="133">
        <v>162317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/>
      <c r="H38" s="648"/>
      <c r="I38" s="648"/>
      <c r="J38" s="649"/>
      <c r="K38" s="650"/>
      <c r="L38" s="648"/>
      <c r="M38" s="648"/>
      <c r="N38" s="649"/>
      <c r="O38" s="650"/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1715654</v>
      </c>
      <c r="AA38" s="136">
        <v>1671487</v>
      </c>
      <c r="AB38" s="137">
        <v>1224033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/>
      <c r="H39" s="648"/>
      <c r="I39" s="648"/>
      <c r="J39" s="649"/>
      <c r="K39" s="650"/>
      <c r="L39" s="648"/>
      <c r="M39" s="648"/>
      <c r="N39" s="649"/>
      <c r="O39" s="650"/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2484442</v>
      </c>
      <c r="AA39" s="27">
        <v>2424502</v>
      </c>
      <c r="AB39" s="28">
        <v>2304897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/>
      <c r="H40" s="648"/>
      <c r="I40" s="648"/>
      <c r="J40" s="649"/>
      <c r="K40" s="650"/>
      <c r="L40" s="648"/>
      <c r="M40" s="648"/>
      <c r="N40" s="649"/>
      <c r="O40" s="650"/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7547922</v>
      </c>
      <c r="AA40" s="35">
        <v>7497481</v>
      </c>
      <c r="AB40" s="36">
        <v>7476607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/>
      <c r="H41" s="648"/>
      <c r="I41" s="648"/>
      <c r="J41" s="649"/>
      <c r="K41" s="650"/>
      <c r="L41" s="648"/>
      <c r="M41" s="648"/>
      <c r="N41" s="649"/>
      <c r="O41" s="650"/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5204506</v>
      </c>
      <c r="AA41" s="35">
        <v>5214005</v>
      </c>
      <c r="AB41" s="36">
        <v>5311945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/>
      <c r="H42" s="648"/>
      <c r="I42" s="648"/>
      <c r="J42" s="649"/>
      <c r="K42" s="650"/>
      <c r="L42" s="648"/>
      <c r="M42" s="648"/>
      <c r="N42" s="649"/>
      <c r="O42" s="650"/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314647</v>
      </c>
      <c r="AA42" s="149">
        <v>150982</v>
      </c>
      <c r="AB42" s="150">
        <v>123673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/>
      <c r="H43" s="648"/>
      <c r="I43" s="648"/>
      <c r="J43" s="649"/>
      <c r="K43" s="650"/>
      <c r="L43" s="648"/>
      <c r="M43" s="648"/>
      <c r="N43" s="649"/>
      <c r="O43" s="650"/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202431</v>
      </c>
      <c r="AA43" s="35">
        <v>83724</v>
      </c>
      <c r="AB43" s="36">
        <v>122001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/>
      <c r="H44" s="648"/>
      <c r="I44" s="648"/>
      <c r="J44" s="649"/>
      <c r="K44" s="650"/>
      <c r="L44" s="648"/>
      <c r="M44" s="648"/>
      <c r="N44" s="649"/>
      <c r="O44" s="650"/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112216</v>
      </c>
      <c r="AA44" s="154">
        <v>67258</v>
      </c>
      <c r="AB44" s="155">
        <v>1672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/>
      <c r="H45" s="648"/>
      <c r="I45" s="648"/>
      <c r="J45" s="649"/>
      <c r="K45" s="650"/>
      <c r="L45" s="648"/>
      <c r="M45" s="648"/>
      <c r="N45" s="649"/>
      <c r="O45" s="650"/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/>
      <c r="AA45" s="35"/>
      <c r="AB45" s="36">
        <v>0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/>
      <c r="AA46" s="149"/>
      <c r="AB46" s="150">
        <v>0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/>
      <c r="H47" s="648"/>
      <c r="I47" s="648"/>
      <c r="J47" s="649"/>
      <c r="K47" s="650"/>
      <c r="L47" s="648"/>
      <c r="M47" s="648"/>
      <c r="N47" s="649"/>
      <c r="O47" s="650"/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2799089</v>
      </c>
      <c r="AA47" s="136">
        <f>AA39+AA42+AA46</f>
        <v>2575484</v>
      </c>
      <c r="AB47" s="137">
        <f>AB39+AB42+AB46</f>
        <v>2428570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/>
      <c r="H48" s="700"/>
      <c r="I48" s="700"/>
      <c r="J48" s="701"/>
      <c r="K48" s="702"/>
      <c r="L48" s="700"/>
      <c r="M48" s="700"/>
      <c r="N48" s="701"/>
      <c r="O48" s="702"/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310223</v>
      </c>
      <c r="AA48" s="27">
        <v>282021</v>
      </c>
      <c r="AB48" s="28">
        <v>253819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0.98</v>
      </c>
      <c r="H49" s="635"/>
      <c r="I49" s="635"/>
      <c r="J49" s="636"/>
      <c r="K49" s="637">
        <v>0.6</v>
      </c>
      <c r="L49" s="635"/>
      <c r="M49" s="635"/>
      <c r="N49" s="636"/>
      <c r="O49" s="637">
        <v>0.7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275722</v>
      </c>
      <c r="AA49" s="35">
        <v>108938</v>
      </c>
      <c r="AB49" s="36">
        <v>84748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1.16</v>
      </c>
      <c r="H50" s="624"/>
      <c r="I50" s="624"/>
      <c r="J50" s="625"/>
      <c r="K50" s="626">
        <v>0.8</v>
      </c>
      <c r="L50" s="624"/>
      <c r="M50" s="624"/>
      <c r="N50" s="625"/>
      <c r="O50" s="626">
        <v>0.7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8.21</v>
      </c>
      <c r="H51" s="624"/>
      <c r="I51" s="624"/>
      <c r="J51" s="625"/>
      <c r="K51" s="626">
        <v>8.4</v>
      </c>
      <c r="L51" s="624"/>
      <c r="M51" s="624"/>
      <c r="N51" s="625"/>
      <c r="O51" s="626">
        <v>11.2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271676</v>
      </c>
      <c r="AA51" s="132">
        <v>104903</v>
      </c>
      <c r="AB51" s="133">
        <v>80709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/>
      <c r="H52" s="624"/>
      <c r="I52" s="624"/>
      <c r="J52" s="625"/>
      <c r="K52" s="626"/>
      <c r="L52" s="624"/>
      <c r="M52" s="624"/>
      <c r="N52" s="625"/>
      <c r="O52" s="626"/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585945</v>
      </c>
      <c r="AA52" s="169">
        <f>AA48+AA49</f>
        <v>390959</v>
      </c>
      <c r="AB52" s="170">
        <f>AB48+AB49</f>
        <v>338567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89.6</v>
      </c>
      <c r="H53" s="639"/>
      <c r="I53" s="639"/>
      <c r="J53" s="640"/>
      <c r="K53" s="641">
        <v>90.2</v>
      </c>
      <c r="L53" s="639"/>
      <c r="M53" s="639"/>
      <c r="N53" s="640"/>
      <c r="O53" s="641">
        <v>87.4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3749240</v>
      </c>
      <c r="AA53" s="27">
        <v>3655112</v>
      </c>
      <c r="AB53" s="28">
        <v>3560590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41.67</v>
      </c>
      <c r="H54" s="635"/>
      <c r="I54" s="635"/>
      <c r="J54" s="636"/>
      <c r="K54" s="637">
        <v>55.1</v>
      </c>
      <c r="L54" s="635"/>
      <c r="M54" s="635"/>
      <c r="N54" s="636"/>
      <c r="O54" s="637">
        <v>65.3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2702598</v>
      </c>
      <c r="AA54" s="35">
        <v>2890209</v>
      </c>
      <c r="AB54" s="36">
        <v>3055928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114.12</v>
      </c>
      <c r="H55" s="624"/>
      <c r="I55" s="624"/>
      <c r="J55" s="625"/>
      <c r="K55" s="626">
        <v>138.6</v>
      </c>
      <c r="L55" s="624"/>
      <c r="M55" s="624"/>
      <c r="N55" s="625"/>
      <c r="O55" s="626">
        <v>145.9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806865</v>
      </c>
      <c r="AA55" s="35">
        <v>546924</v>
      </c>
      <c r="AB55" s="36">
        <v>308481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99.72</v>
      </c>
      <c r="H56" s="624"/>
      <c r="I56" s="624"/>
      <c r="J56" s="625"/>
      <c r="K56" s="626">
        <v>99.9</v>
      </c>
      <c r="L56" s="624"/>
      <c r="M56" s="624"/>
      <c r="N56" s="625"/>
      <c r="O56" s="626">
        <v>100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>
        <v>239777</v>
      </c>
      <c r="AA56" s="35">
        <v>217979</v>
      </c>
      <c r="AB56" s="36">
        <v>196181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/>
      <c r="H57" s="624"/>
      <c r="I57" s="624"/>
      <c r="J57" s="625"/>
      <c r="K57" s="626"/>
      <c r="L57" s="624"/>
      <c r="M57" s="624"/>
      <c r="N57" s="625"/>
      <c r="O57" s="626"/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-1536096</v>
      </c>
      <c r="AA57" s="179">
        <v>-1470587</v>
      </c>
      <c r="AB57" s="180">
        <v>-1470587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/>
      <c r="H58" s="624"/>
      <c r="I58" s="624"/>
      <c r="J58" s="625"/>
      <c r="K58" s="626"/>
      <c r="L58" s="624"/>
      <c r="M58" s="624"/>
      <c r="N58" s="625"/>
      <c r="O58" s="626"/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854384</v>
      </c>
      <c r="AA58" s="35">
        <v>919893</v>
      </c>
      <c r="AB58" s="36">
        <v>919893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/>
      <c r="H60" s="624"/>
      <c r="I60" s="624"/>
      <c r="J60" s="625"/>
      <c r="K60" s="626"/>
      <c r="L60" s="624"/>
      <c r="M60" s="624"/>
      <c r="N60" s="625"/>
      <c r="O60" s="626"/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-2390480</v>
      </c>
      <c r="AA60" s="182">
        <v>-2390480</v>
      </c>
      <c r="AB60" s="183">
        <v>-2390480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/>
      <c r="H61" s="624"/>
      <c r="I61" s="624"/>
      <c r="J61" s="625"/>
      <c r="K61" s="626"/>
      <c r="L61" s="624"/>
      <c r="M61" s="624"/>
      <c r="N61" s="625"/>
      <c r="O61" s="626"/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2213144</v>
      </c>
      <c r="AA61" s="169">
        <f>AA53+AA57</f>
        <v>2184525</v>
      </c>
      <c r="AB61" s="170">
        <f>AB53+AB57</f>
        <v>2090003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/>
      <c r="H62" s="624"/>
      <c r="I62" s="624"/>
      <c r="J62" s="625"/>
      <c r="K62" s="626"/>
      <c r="L62" s="624"/>
      <c r="M62" s="624"/>
      <c r="N62" s="625"/>
      <c r="O62" s="626"/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/>
      <c r="H63" s="624"/>
      <c r="I63" s="624"/>
      <c r="J63" s="625"/>
      <c r="K63" s="626"/>
      <c r="L63" s="624"/>
      <c r="M63" s="624"/>
      <c r="N63" s="625"/>
      <c r="O63" s="626"/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/>
      <c r="H64" s="639"/>
      <c r="I64" s="639"/>
      <c r="J64" s="640"/>
      <c r="K64" s="641"/>
      <c r="L64" s="639"/>
      <c r="M64" s="639"/>
      <c r="N64" s="640"/>
      <c r="O64" s="641"/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202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34422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34422</v>
      </c>
      <c r="H6" s="691"/>
      <c r="I6" s="691"/>
      <c r="J6" s="691"/>
      <c r="K6" s="691"/>
      <c r="L6" s="693" t="s">
        <v>10</v>
      </c>
      <c r="M6" s="693"/>
      <c r="N6" s="693"/>
      <c r="O6" s="184">
        <v>13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1682854</v>
      </c>
      <c r="AA6" s="27">
        <f>AA7+AA14</f>
        <v>1706334</v>
      </c>
      <c r="AB6" s="28">
        <f>AB7+AB14</f>
        <v>1704090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203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1682829</v>
      </c>
      <c r="AA7" s="35">
        <f>AA8+AA12</f>
        <v>1706334</v>
      </c>
      <c r="AB7" s="36">
        <f>AB8+AB12</f>
        <v>1703253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204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1253602</v>
      </c>
      <c r="AA8" s="35">
        <v>1275809</v>
      </c>
      <c r="AB8" s="36">
        <v>1253457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1072208</v>
      </c>
      <c r="AA9" s="35">
        <v>1076534</v>
      </c>
      <c r="AB9" s="36">
        <v>1061589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100</v>
      </c>
      <c r="H10" s="49" t="s">
        <v>181</v>
      </c>
      <c r="I10" s="50">
        <f>SUM(I11:I15)</f>
        <v>100</v>
      </c>
      <c r="J10" s="51" t="s">
        <v>173</v>
      </c>
      <c r="K10" s="52">
        <f>SUM(K11:K15)</f>
        <v>100</v>
      </c>
      <c r="L10" s="53" t="s">
        <v>181</v>
      </c>
      <c r="M10" s="48">
        <f>SUM(M11:M15)</f>
        <v>100</v>
      </c>
      <c r="N10" s="51" t="s">
        <v>173</v>
      </c>
      <c r="O10" s="52">
        <f>SUM(O11:O15)</f>
        <v>100</v>
      </c>
      <c r="P10" s="53" t="s">
        <v>181</v>
      </c>
      <c r="Q10" s="48">
        <f>SUM(Q11:Q15)</f>
        <v>100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134863</v>
      </c>
      <c r="AA10" s="35">
        <v>140238</v>
      </c>
      <c r="AB10" s="36">
        <v>141023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100</v>
      </c>
      <c r="H11" s="59" t="s">
        <v>205</v>
      </c>
      <c r="I11" s="60">
        <v>100</v>
      </c>
      <c r="J11" s="61" t="s">
        <v>206</v>
      </c>
      <c r="K11" s="62">
        <v>100</v>
      </c>
      <c r="L11" s="63" t="s">
        <v>205</v>
      </c>
      <c r="M11" s="58">
        <v>100</v>
      </c>
      <c r="N11" s="61" t="s">
        <v>206</v>
      </c>
      <c r="O11" s="62">
        <v>100</v>
      </c>
      <c r="P11" s="63" t="s">
        <v>205</v>
      </c>
      <c r="Q11" s="58">
        <v>100</v>
      </c>
      <c r="R11" s="33" t="s">
        <v>206</v>
      </c>
      <c r="S11" s="54"/>
      <c r="T11" s="630"/>
      <c r="U11" s="671"/>
      <c r="V11" s="662"/>
      <c r="W11" s="670"/>
      <c r="X11" s="42" t="s">
        <v>34</v>
      </c>
      <c r="Y11" s="43"/>
      <c r="Z11" s="34">
        <v>14533</v>
      </c>
      <c r="AA11" s="35">
        <v>14582</v>
      </c>
      <c r="AB11" s="36">
        <v>15123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429227</v>
      </c>
      <c r="AA12" s="35">
        <v>430525</v>
      </c>
      <c r="AB12" s="36">
        <v>449796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415848</v>
      </c>
      <c r="AA13" s="35">
        <v>417611</v>
      </c>
      <c r="AB13" s="36">
        <v>436877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25</v>
      </c>
      <c r="AA14" s="35">
        <v>0</v>
      </c>
      <c r="AB14" s="36">
        <v>837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1682854</v>
      </c>
      <c r="AA15" s="35">
        <f>AA16+AA23</f>
        <v>1706334</v>
      </c>
      <c r="AB15" s="36">
        <f>AB16+AB23</f>
        <v>1704090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16</v>
      </c>
      <c r="H16" s="673"/>
      <c r="I16" s="673"/>
      <c r="J16" s="674"/>
      <c r="K16" s="675">
        <v>16</v>
      </c>
      <c r="L16" s="673"/>
      <c r="M16" s="673"/>
      <c r="N16" s="674"/>
      <c r="O16" s="675">
        <v>16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1682713</v>
      </c>
      <c r="AA16" s="35">
        <f>AA17+AA21</f>
        <v>1706059</v>
      </c>
      <c r="AB16" s="36">
        <f>AB17+AB21</f>
        <v>1703994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/>
      <c r="H17" s="677"/>
      <c r="I17" s="677"/>
      <c r="J17" s="678"/>
      <c r="K17" s="679"/>
      <c r="L17" s="677"/>
      <c r="M17" s="677"/>
      <c r="N17" s="678"/>
      <c r="O17" s="679"/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1599609</v>
      </c>
      <c r="AA17" s="35">
        <v>1630151</v>
      </c>
      <c r="AB17" s="36">
        <v>1631252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7402</v>
      </c>
      <c r="H18" s="663"/>
      <c r="I18" s="663"/>
      <c r="J18" s="664"/>
      <c r="K18" s="665">
        <v>7402</v>
      </c>
      <c r="L18" s="663"/>
      <c r="M18" s="663"/>
      <c r="N18" s="664"/>
      <c r="O18" s="665">
        <v>7402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984925</v>
      </c>
      <c r="AA18" s="35">
        <v>991135</v>
      </c>
      <c r="AB18" s="36">
        <v>988723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82400</v>
      </c>
      <c r="AA19" s="35">
        <v>86115</v>
      </c>
      <c r="AB19" s="36">
        <v>92045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120.4</v>
      </c>
      <c r="H20" s="85" t="s">
        <v>181</v>
      </c>
      <c r="I20" s="185">
        <f>G20/G10*100</f>
        <v>120.39999999999999</v>
      </c>
      <c r="J20" s="87" t="s">
        <v>173</v>
      </c>
      <c r="K20" s="88">
        <v>123.1</v>
      </c>
      <c r="L20" s="89" t="s">
        <v>181</v>
      </c>
      <c r="M20" s="185">
        <f>K20/K10*100</f>
        <v>123.1</v>
      </c>
      <c r="N20" s="87" t="s">
        <v>173</v>
      </c>
      <c r="O20" s="88">
        <v>126.3</v>
      </c>
      <c r="P20" s="89" t="s">
        <v>181</v>
      </c>
      <c r="Q20" s="185">
        <f>O20/O10*100</f>
        <v>126.29999999999998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260792</v>
      </c>
      <c r="AA20" s="35">
        <v>278639</v>
      </c>
      <c r="AB20" s="36">
        <v>275554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8</v>
      </c>
      <c r="H21" s="85" t="s">
        <v>181</v>
      </c>
      <c r="I21" s="91">
        <f>G21/G10*100</f>
        <v>8</v>
      </c>
      <c r="J21" s="87" t="s">
        <v>173</v>
      </c>
      <c r="K21" s="88">
        <v>8</v>
      </c>
      <c r="L21" s="89" t="s">
        <v>181</v>
      </c>
      <c r="M21" s="91">
        <f>K21/K10*100</f>
        <v>8</v>
      </c>
      <c r="N21" s="87" t="s">
        <v>173</v>
      </c>
      <c r="O21" s="88">
        <v>8</v>
      </c>
      <c r="P21" s="89" t="s">
        <v>181</v>
      </c>
      <c r="Q21" s="91">
        <f>O21/O10*100</f>
        <v>8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83104</v>
      </c>
      <c r="AA21" s="35">
        <v>75908</v>
      </c>
      <c r="AB21" s="36">
        <v>72742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52.4</v>
      </c>
      <c r="H22" s="85" t="s">
        <v>181</v>
      </c>
      <c r="I22" s="91">
        <f>G22/G10*100</f>
        <v>52.400000000000006</v>
      </c>
      <c r="J22" s="87" t="s">
        <v>173</v>
      </c>
      <c r="K22" s="88">
        <v>54.1</v>
      </c>
      <c r="L22" s="89" t="s">
        <v>181</v>
      </c>
      <c r="M22" s="91">
        <f>K22/K10*100</f>
        <v>54.1</v>
      </c>
      <c r="N22" s="87" t="s">
        <v>173</v>
      </c>
      <c r="O22" s="88">
        <v>58.3</v>
      </c>
      <c r="P22" s="89" t="s">
        <v>181</v>
      </c>
      <c r="Q22" s="91">
        <f>O22/O10*100</f>
        <v>58.3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60371</v>
      </c>
      <c r="AA22" s="35">
        <v>57283</v>
      </c>
      <c r="AB22" s="36">
        <v>54121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11</v>
      </c>
      <c r="H23" s="77" t="s">
        <v>181</v>
      </c>
      <c r="I23" s="96">
        <f>G23/G10*100</f>
        <v>11</v>
      </c>
      <c r="J23" s="97" t="s">
        <v>173</v>
      </c>
      <c r="K23" s="98">
        <v>11</v>
      </c>
      <c r="L23" s="99" t="s">
        <v>181</v>
      </c>
      <c r="M23" s="96">
        <f>K23/K10*100</f>
        <v>11</v>
      </c>
      <c r="N23" s="97" t="s">
        <v>173</v>
      </c>
      <c r="O23" s="98">
        <v>11</v>
      </c>
      <c r="P23" s="99" t="s">
        <v>181</v>
      </c>
      <c r="Q23" s="96">
        <f>O23/O10*100</f>
        <v>11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141</v>
      </c>
      <c r="AA23" s="35">
        <v>275</v>
      </c>
      <c r="AB23" s="36">
        <v>96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G30/(G10*366)*100</f>
        <v>93.48360655737706</v>
      </c>
      <c r="H24" s="696"/>
      <c r="I24" s="696"/>
      <c r="J24" s="697"/>
      <c r="K24" s="698">
        <f>K30/(K10*365)*100</f>
        <v>91.57534246575342</v>
      </c>
      <c r="L24" s="696"/>
      <c r="M24" s="696"/>
      <c r="N24" s="697"/>
      <c r="O24" s="698">
        <f>O30/(O10*365)*100</f>
        <v>89.84657534246575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116</v>
      </c>
      <c r="AA24" s="101">
        <f>AA7-AA16</f>
        <v>275</v>
      </c>
      <c r="AB24" s="180">
        <f>AB7-AB16</f>
        <v>-741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93.48360655737706</v>
      </c>
      <c r="H25" s="624"/>
      <c r="I25" s="624"/>
      <c r="J25" s="625"/>
      <c r="K25" s="626">
        <v>91.57534246575342</v>
      </c>
      <c r="L25" s="624"/>
      <c r="M25" s="624"/>
      <c r="N25" s="625"/>
      <c r="O25" s="626">
        <v>89.84657534246575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0</v>
      </c>
      <c r="AA25" s="107">
        <f>AA6-AA15</f>
        <v>0</v>
      </c>
      <c r="AB25" s="108">
        <f>AB6-AB15</f>
        <v>0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93.48360655737706</v>
      </c>
      <c r="H26" s="624"/>
      <c r="I26" s="624"/>
      <c r="J26" s="625"/>
      <c r="K26" s="626">
        <v>91.57534246575342</v>
      </c>
      <c r="L26" s="624"/>
      <c r="M26" s="624"/>
      <c r="N26" s="625"/>
      <c r="O26" s="626">
        <v>89.84657534246575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100000</v>
      </c>
      <c r="AA26" s="27">
        <v>100000</v>
      </c>
      <c r="AB26" s="28">
        <v>100000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88.2</v>
      </c>
      <c r="H27" s="624"/>
      <c r="I27" s="624"/>
      <c r="J27" s="625"/>
      <c r="K27" s="626">
        <v>89.1</v>
      </c>
      <c r="L27" s="624"/>
      <c r="M27" s="624"/>
      <c r="N27" s="625"/>
      <c r="O27" s="626">
        <v>92.7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/>
      <c r="AA27" s="35">
        <v>0</v>
      </c>
      <c r="AB27" s="36">
        <v>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93.48360655737704</v>
      </c>
      <c r="H28" s="648"/>
      <c r="I28" s="648"/>
      <c r="J28" s="649"/>
      <c r="K28" s="650">
        <v>91.57534246575342</v>
      </c>
      <c r="L28" s="648"/>
      <c r="M28" s="648"/>
      <c r="N28" s="649"/>
      <c r="O28" s="650">
        <v>89.84657534246575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>
        <v>0</v>
      </c>
      <c r="AB28" s="36">
        <v>0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57.41803278688525</v>
      </c>
      <c r="H29" s="648"/>
      <c r="I29" s="648"/>
      <c r="J29" s="649"/>
      <c r="K29" s="650">
        <v>59.89387755102041</v>
      </c>
      <c r="L29" s="648"/>
      <c r="M29" s="648"/>
      <c r="N29" s="649"/>
      <c r="O29" s="650">
        <v>60.64344262295082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266016</v>
      </c>
      <c r="AA29" s="35">
        <v>174963</v>
      </c>
      <c r="AB29" s="36">
        <v>184752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34215</v>
      </c>
      <c r="H30" s="656"/>
      <c r="I30" s="656"/>
      <c r="J30" s="657"/>
      <c r="K30" s="658">
        <v>33425</v>
      </c>
      <c r="L30" s="656"/>
      <c r="M30" s="656"/>
      <c r="N30" s="657"/>
      <c r="O30" s="658">
        <v>32794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133470</v>
      </c>
      <c r="AA30" s="35">
        <v>39329</v>
      </c>
      <c r="AB30" s="36">
        <v>45956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14010</v>
      </c>
      <c r="H31" s="656"/>
      <c r="I31" s="656"/>
      <c r="J31" s="657"/>
      <c r="K31" s="658">
        <v>14674</v>
      </c>
      <c r="L31" s="656"/>
      <c r="M31" s="656"/>
      <c r="N31" s="657"/>
      <c r="O31" s="658">
        <v>14797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132546</v>
      </c>
      <c r="AA31" s="35">
        <v>135634</v>
      </c>
      <c r="AB31" s="36">
        <v>138796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40.94695309074967</v>
      </c>
      <c r="H32" s="624"/>
      <c r="I32" s="624"/>
      <c r="J32" s="625"/>
      <c r="K32" s="626">
        <v>43.90127150336575</v>
      </c>
      <c r="L32" s="624"/>
      <c r="M32" s="624"/>
      <c r="N32" s="625"/>
      <c r="O32" s="626">
        <v>45.121058730255534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-166016</v>
      </c>
      <c r="AA32" s="179">
        <f>AA26-AA29</f>
        <v>-74963</v>
      </c>
      <c r="AB32" s="180">
        <f>AB26-AB29</f>
        <v>-84752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11176.583333333334</v>
      </c>
      <c r="H33" s="656"/>
      <c r="I33" s="656"/>
      <c r="J33" s="657"/>
      <c r="K33" s="658">
        <v>11266.407407407407</v>
      </c>
      <c r="L33" s="656"/>
      <c r="M33" s="656"/>
      <c r="N33" s="657"/>
      <c r="O33" s="658">
        <v>11033.137614678899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166016</v>
      </c>
      <c r="AA33" s="35">
        <v>74963</v>
      </c>
      <c r="AB33" s="36">
        <v>84752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11.68545081967213</v>
      </c>
      <c r="H34" s="624"/>
      <c r="I34" s="624"/>
      <c r="J34" s="625"/>
      <c r="K34" s="626">
        <v>11.446917808219178</v>
      </c>
      <c r="L34" s="624"/>
      <c r="M34" s="624"/>
      <c r="N34" s="625"/>
      <c r="O34" s="626">
        <v>11.23082191780822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4.784836065573771</v>
      </c>
      <c r="H35" s="624"/>
      <c r="I35" s="624"/>
      <c r="J35" s="625"/>
      <c r="K35" s="626">
        <v>5.0253424657534245</v>
      </c>
      <c r="L35" s="624"/>
      <c r="M35" s="624"/>
      <c r="N35" s="625"/>
      <c r="O35" s="626">
        <v>5.067465753424657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2139237</v>
      </c>
      <c r="AA35" s="123">
        <v>2373454</v>
      </c>
      <c r="AB35" s="117">
        <v>2586209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412.2510245901639</v>
      </c>
      <c r="H36" s="648"/>
      <c r="I36" s="648"/>
      <c r="J36" s="649"/>
      <c r="K36" s="650">
        <v>416.7027397260274</v>
      </c>
      <c r="L36" s="648"/>
      <c r="M36" s="648"/>
      <c r="N36" s="649"/>
      <c r="O36" s="650">
        <v>411.8534246575342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430381</v>
      </c>
      <c r="AA36" s="27">
        <v>432193</v>
      </c>
      <c r="AB36" s="28">
        <v>452000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102.32409540084701</v>
      </c>
      <c r="H37" s="624"/>
      <c r="I37" s="624"/>
      <c r="J37" s="625"/>
      <c r="K37" s="626">
        <v>100.77093748244678</v>
      </c>
      <c r="L37" s="624"/>
      <c r="M37" s="624"/>
      <c r="N37" s="625"/>
      <c r="O37" s="626">
        <v>100.98644597606908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407655</v>
      </c>
      <c r="AA37" s="132">
        <v>413573</v>
      </c>
      <c r="AB37" s="133">
        <v>435946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31337.36665205319</v>
      </c>
      <c r="H38" s="648"/>
      <c r="I38" s="648"/>
      <c r="J38" s="649"/>
      <c r="K38" s="650">
        <v>32207.44951383695</v>
      </c>
      <c r="L38" s="648"/>
      <c r="M38" s="648"/>
      <c r="N38" s="649"/>
      <c r="O38" s="650">
        <v>32371.43989754223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1691645</v>
      </c>
      <c r="AA38" s="136">
        <v>1607713</v>
      </c>
      <c r="AB38" s="137">
        <v>1617000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9626.19557458958</v>
      </c>
      <c r="H39" s="648"/>
      <c r="I39" s="648"/>
      <c r="J39" s="649"/>
      <c r="K39" s="650">
        <v>9556.903366498569</v>
      </c>
      <c r="L39" s="648"/>
      <c r="M39" s="648"/>
      <c r="N39" s="649"/>
      <c r="O39" s="650">
        <v>9530.51294181253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4593212</v>
      </c>
      <c r="AA39" s="27">
        <v>4251465</v>
      </c>
      <c r="AB39" s="28">
        <v>3919252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25971.44634525661</v>
      </c>
      <c r="H40" s="648"/>
      <c r="I40" s="648"/>
      <c r="J40" s="649"/>
      <c r="K40" s="650">
        <v>26489.968606415936</v>
      </c>
      <c r="L40" s="648"/>
      <c r="M40" s="648"/>
      <c r="N40" s="649"/>
      <c r="O40" s="650">
        <v>26309.38622848858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7802970</v>
      </c>
      <c r="AA40" s="35">
        <v>7829126</v>
      </c>
      <c r="AB40" s="36">
        <v>7836116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1427.8693623639192</v>
      </c>
      <c r="H41" s="648"/>
      <c r="I41" s="648"/>
      <c r="J41" s="649"/>
      <c r="K41" s="650">
        <v>1491.9436994532111</v>
      </c>
      <c r="L41" s="648"/>
      <c r="M41" s="648"/>
      <c r="N41" s="649"/>
      <c r="O41" s="650">
        <v>1656.3635981593159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3627974</v>
      </c>
      <c r="AA41" s="35">
        <v>3888609</v>
      </c>
      <c r="AB41" s="36">
        <v>4148799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34895.883877656815</v>
      </c>
      <c r="H42" s="648"/>
      <c r="I42" s="648"/>
      <c r="J42" s="649"/>
      <c r="K42" s="650">
        <v>35475.4568702052</v>
      </c>
      <c r="L42" s="648"/>
      <c r="M42" s="648"/>
      <c r="N42" s="649"/>
      <c r="O42" s="650">
        <v>35806.980311403415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2218479</v>
      </c>
      <c r="AA42" s="149">
        <v>2455016</v>
      </c>
      <c r="AB42" s="150">
        <v>2696946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20423.53551062727</v>
      </c>
      <c r="H43" s="648"/>
      <c r="I43" s="648"/>
      <c r="J43" s="649"/>
      <c r="K43" s="650">
        <v>20606.145657913883</v>
      </c>
      <c r="L43" s="648"/>
      <c r="M43" s="648"/>
      <c r="N43" s="649"/>
      <c r="O43" s="650">
        <v>20775.419722216386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1948985</v>
      </c>
      <c r="AA43" s="35">
        <v>2190180</v>
      </c>
      <c r="AB43" s="36">
        <v>2444111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1395.4380508035251</v>
      </c>
      <c r="H44" s="648"/>
      <c r="I44" s="648"/>
      <c r="J44" s="649"/>
      <c r="K44" s="650">
        <v>1480.529740743051</v>
      </c>
      <c r="L44" s="648"/>
      <c r="M44" s="648"/>
      <c r="N44" s="649"/>
      <c r="O44" s="650">
        <v>1640.1840684162971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253838</v>
      </c>
      <c r="AA44" s="154">
        <v>245170</v>
      </c>
      <c r="AB44" s="155">
        <v>233165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0</v>
      </c>
      <c r="H45" s="648"/>
      <c r="I45" s="648"/>
      <c r="J45" s="649"/>
      <c r="K45" s="650">
        <v>0</v>
      </c>
      <c r="L45" s="648"/>
      <c r="M45" s="648"/>
      <c r="N45" s="649"/>
      <c r="O45" s="650">
        <v>0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13131</v>
      </c>
      <c r="AA45" s="35">
        <v>12310</v>
      </c>
      <c r="AB45" s="36">
        <v>11829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>
        <v>0</v>
      </c>
      <c r="H46" s="648"/>
      <c r="I46" s="648"/>
      <c r="J46" s="649"/>
      <c r="K46" s="650">
        <v>0</v>
      </c>
      <c r="L46" s="648"/>
      <c r="M46" s="648"/>
      <c r="N46" s="649"/>
      <c r="O46" s="650">
        <v>0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0</v>
      </c>
      <c r="AA46" s="149">
        <v>0</v>
      </c>
      <c r="AB46" s="150">
        <v>0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34251.42076502732</v>
      </c>
      <c r="H47" s="648"/>
      <c r="I47" s="648"/>
      <c r="J47" s="649"/>
      <c r="K47" s="650">
        <v>34953.67123287672</v>
      </c>
      <c r="L47" s="648"/>
      <c r="M47" s="648"/>
      <c r="N47" s="649"/>
      <c r="O47" s="650">
        <v>34341.28767123288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6811691</v>
      </c>
      <c r="AA47" s="136">
        <f>AA39+AA42+AA46</f>
        <v>6706481</v>
      </c>
      <c r="AB47" s="137">
        <f>AB39+AB42+AB46</f>
        <v>6616198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43705.16393442623</v>
      </c>
      <c r="H48" s="700"/>
      <c r="I48" s="700"/>
      <c r="J48" s="701"/>
      <c r="K48" s="702">
        <v>44661.67123287672</v>
      </c>
      <c r="L48" s="700"/>
      <c r="M48" s="700"/>
      <c r="N48" s="701"/>
      <c r="O48" s="702">
        <v>44691.83561643835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169855</v>
      </c>
      <c r="AA48" s="27">
        <v>197959</v>
      </c>
      <c r="AB48" s="28">
        <v>217297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58.53196593833886</v>
      </c>
      <c r="H49" s="635"/>
      <c r="I49" s="635"/>
      <c r="J49" s="636"/>
      <c r="K49" s="637">
        <v>58.09500140382015</v>
      </c>
      <c r="L49" s="635"/>
      <c r="M49" s="635"/>
      <c r="N49" s="636"/>
      <c r="O49" s="637">
        <v>58.02385454408877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79242</v>
      </c>
      <c r="AA49" s="35">
        <v>81562</v>
      </c>
      <c r="AB49" s="36">
        <v>110737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3.5877181670314546</v>
      </c>
      <c r="H50" s="624"/>
      <c r="I50" s="624"/>
      <c r="J50" s="625"/>
      <c r="K50" s="626">
        <v>3.3576212780448977</v>
      </c>
      <c r="L50" s="624"/>
      <c r="M50" s="624"/>
      <c r="N50" s="625"/>
      <c r="O50" s="626">
        <v>3.176126207017161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>
        <v>0</v>
      </c>
      <c r="AB50" s="36">
        <v>0</v>
      </c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15.498305415124266</v>
      </c>
      <c r="H51" s="624"/>
      <c r="I51" s="624"/>
      <c r="J51" s="625"/>
      <c r="K51" s="626">
        <v>16.33231910502509</v>
      </c>
      <c r="L51" s="624"/>
      <c r="M51" s="624"/>
      <c r="N51" s="625"/>
      <c r="O51" s="626">
        <v>16.171066330045765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79242</v>
      </c>
      <c r="AA51" s="132">
        <v>81562</v>
      </c>
      <c r="AB51" s="133">
        <v>110737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4.896854068400256</v>
      </c>
      <c r="H52" s="624"/>
      <c r="I52" s="624"/>
      <c r="J52" s="625"/>
      <c r="K52" s="626">
        <v>5.047598002179292</v>
      </c>
      <c r="L52" s="624"/>
      <c r="M52" s="624"/>
      <c r="N52" s="625"/>
      <c r="O52" s="626">
        <v>5.40172089807828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249097</v>
      </c>
      <c r="AA52" s="169">
        <f>AA48+AA49</f>
        <v>279521</v>
      </c>
      <c r="AB52" s="170">
        <f>AB48+AB49</f>
        <v>328034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17.485156411105162</v>
      </c>
      <c r="H53" s="639"/>
      <c r="I53" s="639"/>
      <c r="J53" s="640"/>
      <c r="K53" s="641">
        <v>17.16746021093057</v>
      </c>
      <c r="L53" s="639"/>
      <c r="M53" s="639"/>
      <c r="N53" s="640"/>
      <c r="O53" s="641">
        <v>17.227232020770025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5763539</v>
      </c>
      <c r="AA53" s="27">
        <v>5627905</v>
      </c>
      <c r="AB53" s="28">
        <v>5489109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59.42734337185877</v>
      </c>
      <c r="H54" s="635"/>
      <c r="I54" s="635"/>
      <c r="J54" s="636"/>
      <c r="K54" s="637">
        <v>60.35962824616964</v>
      </c>
      <c r="L54" s="635"/>
      <c r="M54" s="635"/>
      <c r="N54" s="636"/>
      <c r="O54" s="637">
        <v>61.18328079056884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3248952</v>
      </c>
      <c r="AA54" s="35">
        <v>3248952</v>
      </c>
      <c r="AB54" s="36">
        <v>3248952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2799.6251987582345</v>
      </c>
      <c r="H55" s="624"/>
      <c r="I55" s="624"/>
      <c r="J55" s="625"/>
      <c r="K55" s="626">
        <v>3009.999754787769</v>
      </c>
      <c r="L55" s="624"/>
      <c r="M55" s="624"/>
      <c r="N55" s="625"/>
      <c r="O55" s="626">
        <v>2435.4515654207717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2514587</v>
      </c>
      <c r="AA55" s="35">
        <v>2378953</v>
      </c>
      <c r="AB55" s="36">
        <v>2240157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100.00689362951375</v>
      </c>
      <c r="H56" s="624"/>
      <c r="I56" s="624"/>
      <c r="J56" s="625"/>
      <c r="K56" s="626">
        <v>100.0161190205028</v>
      </c>
      <c r="L56" s="624"/>
      <c r="M56" s="624"/>
      <c r="N56" s="625"/>
      <c r="O56" s="626">
        <v>99.95651393138708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>
        <v>0</v>
      </c>
      <c r="AB56" s="36">
        <v>0</v>
      </c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78.36927649194271</v>
      </c>
      <c r="H57" s="624"/>
      <c r="I57" s="624"/>
      <c r="J57" s="625"/>
      <c r="K57" s="626">
        <v>78.26324064457833</v>
      </c>
      <c r="L57" s="624"/>
      <c r="M57" s="624"/>
      <c r="N57" s="625"/>
      <c r="O57" s="626">
        <v>76.84018165188456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799055</v>
      </c>
      <c r="AA57" s="35">
        <v>799055</v>
      </c>
      <c r="AB57" s="36">
        <v>799055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0</v>
      </c>
      <c r="H58" s="624"/>
      <c r="I58" s="624"/>
      <c r="J58" s="625"/>
      <c r="K58" s="626">
        <v>0</v>
      </c>
      <c r="L58" s="624"/>
      <c r="M58" s="624"/>
      <c r="N58" s="625"/>
      <c r="O58" s="626">
        <v>0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799050</v>
      </c>
      <c r="AA58" s="35">
        <v>799050</v>
      </c>
      <c r="AB58" s="36">
        <v>799050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>
        <v>0</v>
      </c>
      <c r="H59" s="624"/>
      <c r="I59" s="624"/>
      <c r="J59" s="625"/>
      <c r="K59" s="626">
        <v>0</v>
      </c>
      <c r="L59" s="624"/>
      <c r="M59" s="624"/>
      <c r="N59" s="625"/>
      <c r="O59" s="626">
        <v>0</v>
      </c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5</v>
      </c>
      <c r="AA59" s="35">
        <v>5</v>
      </c>
      <c r="AB59" s="36">
        <v>5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10.573212231633326</v>
      </c>
      <c r="H60" s="624"/>
      <c r="I60" s="624"/>
      <c r="J60" s="625"/>
      <c r="K60" s="626">
        <v>10.631215174058186</v>
      </c>
      <c r="L60" s="624"/>
      <c r="M60" s="624"/>
      <c r="N60" s="625"/>
      <c r="O60" s="626">
        <v>11.073056355343661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>
        <v>0</v>
      </c>
      <c r="AA60" s="107">
        <v>0</v>
      </c>
      <c r="AB60" s="108">
        <v>0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4.815802782701368</v>
      </c>
      <c r="H61" s="624"/>
      <c r="I61" s="624"/>
      <c r="J61" s="625"/>
      <c r="K61" s="626">
        <v>4.489935405691605</v>
      </c>
      <c r="L61" s="624"/>
      <c r="M61" s="624"/>
      <c r="N61" s="625"/>
      <c r="O61" s="626">
        <v>4.317738861404899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6562594</v>
      </c>
      <c r="AA61" s="169">
        <f>AA53+AA57</f>
        <v>6426960</v>
      </c>
      <c r="AB61" s="170">
        <f>AB53+AB57</f>
        <v>6288164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15.389015014334692</v>
      </c>
      <c r="H62" s="624"/>
      <c r="I62" s="624"/>
      <c r="J62" s="625"/>
      <c r="K62" s="626">
        <v>15.12115057974979</v>
      </c>
      <c r="L62" s="624"/>
      <c r="M62" s="624"/>
      <c r="N62" s="625"/>
      <c r="O62" s="626">
        <v>15.39079521674856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78.5675996049783</v>
      </c>
      <c r="H63" s="624"/>
      <c r="I63" s="624"/>
      <c r="J63" s="625"/>
      <c r="K63" s="626">
        <v>77.68678540439831</v>
      </c>
      <c r="L63" s="624"/>
      <c r="M63" s="624"/>
      <c r="N63" s="625"/>
      <c r="O63" s="626">
        <v>78.8796903284277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6.5730590729753136</v>
      </c>
      <c r="H64" s="639"/>
      <c r="I64" s="639"/>
      <c r="J64" s="640"/>
      <c r="K64" s="641">
        <v>6.749834810696585</v>
      </c>
      <c r="L64" s="639"/>
      <c r="M64" s="639"/>
      <c r="N64" s="640"/>
      <c r="O64" s="641">
        <v>7.343291393322627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424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13">
        <v>30533</v>
      </c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13">
        <v>30533</v>
      </c>
      <c r="H6" s="713"/>
      <c r="I6" s="713"/>
      <c r="J6" s="713"/>
      <c r="K6" s="713"/>
      <c r="L6" s="715" t="s">
        <v>10</v>
      </c>
      <c r="M6" s="715"/>
      <c r="N6" s="715"/>
      <c r="O6" s="186">
        <v>7</v>
      </c>
      <c r="P6" s="187" t="s">
        <v>172</v>
      </c>
      <c r="Q6" s="188">
        <v>1</v>
      </c>
      <c r="R6" s="189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14398766</v>
      </c>
      <c r="AA6" s="27">
        <f>AA7+AA14</f>
        <v>14599551</v>
      </c>
      <c r="AB6" s="28">
        <f>AB7+AB14</f>
        <v>14350207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16" t="s">
        <v>207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14398215</v>
      </c>
      <c r="AA7" s="35">
        <f>AA8+AA12</f>
        <v>14594373</v>
      </c>
      <c r="AB7" s="36">
        <f>AB8+AB12</f>
        <v>14349170</v>
      </c>
    </row>
    <row r="8" spans="1:28" s="44" customFormat="1" ht="43.5" customHeight="1" thickBot="1">
      <c r="A8" s="37" t="s">
        <v>21</v>
      </c>
      <c r="B8" s="38"/>
      <c r="C8" s="38"/>
      <c r="D8" s="38"/>
      <c r="E8" s="38"/>
      <c r="F8" s="39"/>
      <c r="G8" s="710" t="s">
        <v>208</v>
      </c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2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12922100</v>
      </c>
      <c r="AA8" s="35">
        <v>13060313</v>
      </c>
      <c r="AB8" s="36">
        <v>13274580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8946571</v>
      </c>
      <c r="AA9" s="35">
        <v>9353760</v>
      </c>
      <c r="AB9" s="36">
        <v>9348111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446</v>
      </c>
      <c r="H10" s="49" t="s">
        <v>181</v>
      </c>
      <c r="I10" s="50">
        <f>SUM(I11:I15)</f>
        <v>446</v>
      </c>
      <c r="J10" s="51" t="s">
        <v>173</v>
      </c>
      <c r="K10" s="52">
        <f>SUM(K11:K15)</f>
        <v>449</v>
      </c>
      <c r="L10" s="53" t="s">
        <v>181</v>
      </c>
      <c r="M10" s="48">
        <f>SUM(M11:M15)</f>
        <v>449</v>
      </c>
      <c r="N10" s="51" t="s">
        <v>173</v>
      </c>
      <c r="O10" s="52">
        <f>SUM(O11:O15)</f>
        <v>449</v>
      </c>
      <c r="P10" s="53" t="s">
        <v>181</v>
      </c>
      <c r="Q10" s="48">
        <f>SUM(Q11:Q15)</f>
        <v>449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3172837</v>
      </c>
      <c r="AA10" s="35">
        <v>3148467</v>
      </c>
      <c r="AB10" s="36">
        <v>3110543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446</v>
      </c>
      <c r="H11" s="59" t="s">
        <v>181</v>
      </c>
      <c r="I11" s="60">
        <v>446</v>
      </c>
      <c r="J11" s="61" t="s">
        <v>173</v>
      </c>
      <c r="K11" s="62">
        <v>449</v>
      </c>
      <c r="L11" s="63" t="s">
        <v>181</v>
      </c>
      <c r="M11" s="58">
        <v>449</v>
      </c>
      <c r="N11" s="61" t="s">
        <v>173</v>
      </c>
      <c r="O11" s="62">
        <v>449</v>
      </c>
      <c r="P11" s="63" t="s">
        <v>181</v>
      </c>
      <c r="Q11" s="58">
        <v>449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662700</v>
      </c>
      <c r="AA11" s="35">
        <v>419500</v>
      </c>
      <c r="AB11" s="36">
        <v>676700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1476115</v>
      </c>
      <c r="AA12" s="35">
        <v>1534060</v>
      </c>
      <c r="AB12" s="36">
        <v>1074590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1241100</v>
      </c>
      <c r="AA13" s="35">
        <v>1375800</v>
      </c>
      <c r="AB13" s="36">
        <v>911200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551</v>
      </c>
      <c r="AA14" s="35">
        <v>5178</v>
      </c>
      <c r="AB14" s="36">
        <v>1037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13417420</v>
      </c>
      <c r="AA15" s="35">
        <f>AA16+AA23</f>
        <v>13373105</v>
      </c>
      <c r="AB15" s="36">
        <f>AB16+AB23</f>
        <v>13893471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26</v>
      </c>
      <c r="H16" s="673"/>
      <c r="I16" s="673"/>
      <c r="J16" s="674"/>
      <c r="K16" s="675">
        <v>26</v>
      </c>
      <c r="L16" s="673"/>
      <c r="M16" s="673"/>
      <c r="N16" s="674"/>
      <c r="O16" s="675">
        <v>26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13334231</v>
      </c>
      <c r="AA16" s="35">
        <f>AA17+AA21</f>
        <v>13149481</v>
      </c>
      <c r="AB16" s="36">
        <f>AB17+AB21</f>
        <v>13824333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43</v>
      </c>
      <c r="H17" s="677"/>
      <c r="I17" s="677"/>
      <c r="J17" s="678"/>
      <c r="K17" s="679">
        <v>43</v>
      </c>
      <c r="L17" s="677"/>
      <c r="M17" s="677"/>
      <c r="N17" s="678"/>
      <c r="O17" s="679">
        <v>43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12648585</v>
      </c>
      <c r="AA17" s="35">
        <v>12522779</v>
      </c>
      <c r="AB17" s="36">
        <v>13211422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35581</v>
      </c>
      <c r="H18" s="663"/>
      <c r="I18" s="663"/>
      <c r="J18" s="664"/>
      <c r="K18" s="665">
        <v>35581</v>
      </c>
      <c r="L18" s="663"/>
      <c r="M18" s="663"/>
      <c r="N18" s="664"/>
      <c r="O18" s="665">
        <v>35581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6072265</v>
      </c>
      <c r="AA18" s="35">
        <v>6237374</v>
      </c>
      <c r="AB18" s="36">
        <v>6764275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3040115</v>
      </c>
      <c r="AA19" s="35">
        <v>3006993</v>
      </c>
      <c r="AB19" s="36">
        <v>3171026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745</v>
      </c>
      <c r="H20" s="85" t="s">
        <v>181</v>
      </c>
      <c r="I20" s="185">
        <v>167</v>
      </c>
      <c r="J20" s="87" t="s">
        <v>173</v>
      </c>
      <c r="K20" s="88">
        <v>776</v>
      </c>
      <c r="L20" s="89" t="s">
        <v>181</v>
      </c>
      <c r="M20" s="185">
        <v>173</v>
      </c>
      <c r="N20" s="87" t="s">
        <v>173</v>
      </c>
      <c r="O20" s="88">
        <v>847.3</v>
      </c>
      <c r="P20" s="89" t="s">
        <v>181</v>
      </c>
      <c r="Q20" s="185">
        <v>189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970157</v>
      </c>
      <c r="AA20" s="35">
        <v>913563</v>
      </c>
      <c r="AB20" s="36">
        <v>971372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113</v>
      </c>
      <c r="H21" s="85" t="s">
        <v>181</v>
      </c>
      <c r="I21" s="91">
        <f>G21/G10*100</f>
        <v>25.336322869955158</v>
      </c>
      <c r="J21" s="87" t="s">
        <v>173</v>
      </c>
      <c r="K21" s="88">
        <v>120</v>
      </c>
      <c r="L21" s="89" t="s">
        <v>181</v>
      </c>
      <c r="M21" s="91">
        <f>K21/K10*100</f>
        <v>26.7260579064588</v>
      </c>
      <c r="N21" s="87" t="s">
        <v>173</v>
      </c>
      <c r="O21" s="88">
        <v>124.8</v>
      </c>
      <c r="P21" s="89" t="s">
        <v>181</v>
      </c>
      <c r="Q21" s="91">
        <f>O21/O10*100</f>
        <v>27.79510022271715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685646</v>
      </c>
      <c r="AA21" s="35">
        <v>626702</v>
      </c>
      <c r="AB21" s="36">
        <v>612911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451</v>
      </c>
      <c r="H22" s="85" t="s">
        <v>181</v>
      </c>
      <c r="I22" s="91">
        <f>G22/G10*100</f>
        <v>101.12107623318384</v>
      </c>
      <c r="J22" s="87" t="s">
        <v>173</v>
      </c>
      <c r="K22" s="88">
        <v>468</v>
      </c>
      <c r="L22" s="89" t="s">
        <v>181</v>
      </c>
      <c r="M22" s="91">
        <f>K22/K10*100</f>
        <v>104.2316258351893</v>
      </c>
      <c r="N22" s="87" t="s">
        <v>173</v>
      </c>
      <c r="O22" s="88">
        <v>497.7</v>
      </c>
      <c r="P22" s="89" t="s">
        <v>181</v>
      </c>
      <c r="Q22" s="91">
        <f>O22/O10*100</f>
        <v>110.84632516703785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337954</v>
      </c>
      <c r="AA22" s="35">
        <v>317499</v>
      </c>
      <c r="AB22" s="36">
        <v>297611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61</v>
      </c>
      <c r="H23" s="77" t="s">
        <v>181</v>
      </c>
      <c r="I23" s="96">
        <f>G23/G10*100</f>
        <v>13.67713004484305</v>
      </c>
      <c r="J23" s="97" t="s">
        <v>173</v>
      </c>
      <c r="K23" s="98">
        <v>63</v>
      </c>
      <c r="L23" s="99" t="s">
        <v>181</v>
      </c>
      <c r="M23" s="96">
        <f>K23/K10*100</f>
        <v>14.03118040089087</v>
      </c>
      <c r="N23" s="97" t="s">
        <v>173</v>
      </c>
      <c r="O23" s="98">
        <v>86.2</v>
      </c>
      <c r="P23" s="99" t="s">
        <v>181</v>
      </c>
      <c r="Q23" s="96">
        <f>O23/O10*100</f>
        <v>19.198218262806236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83189</v>
      </c>
      <c r="AA23" s="35">
        <v>223624</v>
      </c>
      <c r="AB23" s="36">
        <v>69138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v>84.2</v>
      </c>
      <c r="H24" s="696"/>
      <c r="I24" s="696"/>
      <c r="J24" s="697"/>
      <c r="K24" s="698">
        <v>86.2</v>
      </c>
      <c r="L24" s="696"/>
      <c r="M24" s="696"/>
      <c r="N24" s="697"/>
      <c r="O24" s="698">
        <f>O30/(O10*365)*100</f>
        <v>83.87039692467279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1063984</v>
      </c>
      <c r="AA24" s="101">
        <f>AA7-AA16</f>
        <v>1444892</v>
      </c>
      <c r="AB24" s="102">
        <f>AB7-AB16</f>
        <v>524837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84.2</v>
      </c>
      <c r="H25" s="624"/>
      <c r="I25" s="624"/>
      <c r="J25" s="625"/>
      <c r="K25" s="626">
        <v>86.2</v>
      </c>
      <c r="L25" s="624"/>
      <c r="M25" s="624"/>
      <c r="N25" s="625"/>
      <c r="O25" s="626">
        <v>83.9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981346</v>
      </c>
      <c r="AA25" s="107">
        <f>AA6-AA15</f>
        <v>1226446</v>
      </c>
      <c r="AB25" s="108">
        <f>AB6-AB15</f>
        <v>456736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84.2</v>
      </c>
      <c r="H26" s="624"/>
      <c r="I26" s="624"/>
      <c r="J26" s="625"/>
      <c r="K26" s="626">
        <v>86.2</v>
      </c>
      <c r="L26" s="624"/>
      <c r="M26" s="624"/>
      <c r="N26" s="625"/>
      <c r="O26" s="626">
        <v>83.9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667665</v>
      </c>
      <c r="AA26" s="27">
        <v>641875</v>
      </c>
      <c r="AB26" s="28">
        <v>550000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11</v>
      </c>
      <c r="H27" s="624"/>
      <c r="I27" s="624"/>
      <c r="J27" s="625"/>
      <c r="K27" s="626">
        <v>11.1</v>
      </c>
      <c r="L27" s="624"/>
      <c r="M27" s="624"/>
      <c r="N27" s="625"/>
      <c r="O27" s="626">
        <v>10.9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150000</v>
      </c>
      <c r="AA27" s="35">
        <v>400000</v>
      </c>
      <c r="AB27" s="36">
        <v>550000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376</v>
      </c>
      <c r="H28" s="648"/>
      <c r="I28" s="648"/>
      <c r="J28" s="649"/>
      <c r="K28" s="650">
        <v>386</v>
      </c>
      <c r="L28" s="648"/>
      <c r="M28" s="648"/>
      <c r="N28" s="649"/>
      <c r="O28" s="650">
        <v>377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/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991</v>
      </c>
      <c r="H29" s="648"/>
      <c r="I29" s="648"/>
      <c r="J29" s="649"/>
      <c r="K29" s="650">
        <v>984</v>
      </c>
      <c r="L29" s="648"/>
      <c r="M29" s="648"/>
      <c r="N29" s="649"/>
      <c r="O29" s="650">
        <v>951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1627615</v>
      </c>
      <c r="AA29" s="35">
        <v>2279705</v>
      </c>
      <c r="AB29" s="36">
        <v>2462000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137476</v>
      </c>
      <c r="H30" s="656"/>
      <c r="I30" s="656"/>
      <c r="J30" s="657"/>
      <c r="K30" s="658">
        <v>141026</v>
      </c>
      <c r="L30" s="656"/>
      <c r="M30" s="656"/>
      <c r="N30" s="657"/>
      <c r="O30" s="658">
        <v>137451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679881</v>
      </c>
      <c r="AA30" s="35">
        <v>1387810</v>
      </c>
      <c r="AB30" s="36">
        <v>1596464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241923</v>
      </c>
      <c r="H31" s="656"/>
      <c r="I31" s="656"/>
      <c r="J31" s="657"/>
      <c r="K31" s="658">
        <v>241043</v>
      </c>
      <c r="L31" s="656"/>
      <c r="M31" s="656"/>
      <c r="N31" s="657"/>
      <c r="O31" s="658">
        <v>231939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947734</v>
      </c>
      <c r="AA31" s="35">
        <v>891895</v>
      </c>
      <c r="AB31" s="36">
        <v>865536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176</v>
      </c>
      <c r="H32" s="624"/>
      <c r="I32" s="624"/>
      <c r="J32" s="625"/>
      <c r="K32" s="626">
        <v>170.9</v>
      </c>
      <c r="L32" s="624"/>
      <c r="M32" s="624"/>
      <c r="N32" s="625"/>
      <c r="O32" s="626">
        <v>168.7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-959950</v>
      </c>
      <c r="AA32" s="179">
        <f>AA26-AA29</f>
        <v>-1637830</v>
      </c>
      <c r="AB32" s="180">
        <f>AB26-AB29</f>
        <v>-1912000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20472</v>
      </c>
      <c r="H33" s="656"/>
      <c r="I33" s="656"/>
      <c r="J33" s="657"/>
      <c r="K33" s="658">
        <v>20263</v>
      </c>
      <c r="L33" s="656"/>
      <c r="M33" s="656"/>
      <c r="N33" s="657"/>
      <c r="O33" s="658">
        <v>18963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959950</v>
      </c>
      <c r="AA33" s="35">
        <v>1637830</v>
      </c>
      <c r="AB33" s="36">
        <v>1912000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3.3</v>
      </c>
      <c r="H34" s="624"/>
      <c r="I34" s="624"/>
      <c r="J34" s="625"/>
      <c r="K34" s="626">
        <v>3.2</v>
      </c>
      <c r="L34" s="624"/>
      <c r="M34" s="624"/>
      <c r="N34" s="625"/>
      <c r="O34" s="626">
        <v>3.01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5.9</v>
      </c>
      <c r="H35" s="624"/>
      <c r="I35" s="624"/>
      <c r="J35" s="625"/>
      <c r="K35" s="626">
        <v>5.5</v>
      </c>
      <c r="L35" s="624"/>
      <c r="M35" s="624"/>
      <c r="N35" s="625"/>
      <c r="O35" s="626">
        <v>5.08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5345573</v>
      </c>
      <c r="AA35" s="123">
        <v>6112339</v>
      </c>
      <c r="AB35" s="117">
        <v>5911832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294</v>
      </c>
      <c r="H36" s="648"/>
      <c r="I36" s="648"/>
      <c r="J36" s="649"/>
      <c r="K36" s="650">
        <v>286</v>
      </c>
      <c r="L36" s="648"/>
      <c r="M36" s="648"/>
      <c r="N36" s="649"/>
      <c r="O36" s="650">
        <v>273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1903800</v>
      </c>
      <c r="AA36" s="27">
        <v>1795300</v>
      </c>
      <c r="AB36" s="28">
        <v>1587900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146.9</v>
      </c>
      <c r="H37" s="624"/>
      <c r="I37" s="624"/>
      <c r="J37" s="625"/>
      <c r="K37" s="626">
        <v>135.4</v>
      </c>
      <c r="L37" s="624"/>
      <c r="M37" s="624"/>
      <c r="N37" s="625"/>
      <c r="O37" s="626">
        <v>133.4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1903800</v>
      </c>
      <c r="AA37" s="132">
        <v>1795300</v>
      </c>
      <c r="AB37" s="133">
        <v>1587900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65077</v>
      </c>
      <c r="H38" s="648"/>
      <c r="I38" s="648"/>
      <c r="J38" s="649"/>
      <c r="K38" s="650">
        <v>66326</v>
      </c>
      <c r="L38" s="648"/>
      <c r="M38" s="648"/>
      <c r="N38" s="649"/>
      <c r="O38" s="650">
        <v>68010.4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14094587</v>
      </c>
      <c r="AA38" s="136">
        <v>14756463</v>
      </c>
      <c r="AB38" s="137">
        <v>15399365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13115</v>
      </c>
      <c r="H39" s="648"/>
      <c r="I39" s="648"/>
      <c r="J39" s="649"/>
      <c r="K39" s="650">
        <v>13062</v>
      </c>
      <c r="L39" s="648"/>
      <c r="M39" s="648"/>
      <c r="N39" s="649"/>
      <c r="O39" s="650">
        <v>13411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15909286</v>
      </c>
      <c r="AA39" s="27">
        <v>16066576</v>
      </c>
      <c r="AB39" s="28">
        <v>16531947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32933</v>
      </c>
      <c r="H40" s="648"/>
      <c r="I40" s="648"/>
      <c r="J40" s="649"/>
      <c r="K40" s="650">
        <v>33513</v>
      </c>
      <c r="L40" s="648"/>
      <c r="M40" s="648"/>
      <c r="N40" s="649"/>
      <c r="O40" s="650">
        <v>34549.6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28948068</v>
      </c>
      <c r="AA40" s="35">
        <v>29312356</v>
      </c>
      <c r="AB40" s="36">
        <v>29756072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4849</v>
      </c>
      <c r="H41" s="648"/>
      <c r="I41" s="648"/>
      <c r="J41" s="649"/>
      <c r="K41" s="650">
        <v>4238</v>
      </c>
      <c r="L41" s="648"/>
      <c r="M41" s="648"/>
      <c r="N41" s="649"/>
      <c r="O41" s="650">
        <v>4419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15092927</v>
      </c>
      <c r="AA41" s="35">
        <v>15132170</v>
      </c>
      <c r="AB41" s="36">
        <v>15106286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35365</v>
      </c>
      <c r="H42" s="648"/>
      <c r="I42" s="648"/>
      <c r="J42" s="649"/>
      <c r="K42" s="650">
        <v>35002</v>
      </c>
      <c r="L42" s="648"/>
      <c r="M42" s="648"/>
      <c r="N42" s="649"/>
      <c r="O42" s="650">
        <v>37611.9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6563067</v>
      </c>
      <c r="AA42" s="149">
        <v>7857972</v>
      </c>
      <c r="AB42" s="150">
        <v>7193899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16005</v>
      </c>
      <c r="H43" s="648"/>
      <c r="I43" s="648"/>
      <c r="J43" s="649"/>
      <c r="K43" s="650">
        <v>16325</v>
      </c>
      <c r="L43" s="648"/>
      <c r="M43" s="648"/>
      <c r="N43" s="649"/>
      <c r="O43" s="650">
        <v>18312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4297584</v>
      </c>
      <c r="AA43" s="35">
        <v>5696518</v>
      </c>
      <c r="AB43" s="36">
        <v>5036571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3301</v>
      </c>
      <c r="H44" s="648"/>
      <c r="I44" s="648"/>
      <c r="J44" s="649"/>
      <c r="K44" s="650">
        <v>3130</v>
      </c>
      <c r="L44" s="648"/>
      <c r="M44" s="648"/>
      <c r="N44" s="649"/>
      <c r="O44" s="650">
        <v>3312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2152434</v>
      </c>
      <c r="AA44" s="154">
        <v>2100490</v>
      </c>
      <c r="AB44" s="155">
        <v>2056580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2587</v>
      </c>
      <c r="H45" s="648"/>
      <c r="I45" s="648"/>
      <c r="J45" s="649"/>
      <c r="K45" s="650">
        <v>3210</v>
      </c>
      <c r="L45" s="648"/>
      <c r="M45" s="648"/>
      <c r="N45" s="649"/>
      <c r="O45" s="650">
        <v>1236.46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110049</v>
      </c>
      <c r="AA45" s="35">
        <v>57964</v>
      </c>
      <c r="AB45" s="36">
        <v>97748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>
        <v>33.51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237882</v>
      </c>
      <c r="AA46" s="149">
        <v>244861</v>
      </c>
      <c r="AB46" s="150">
        <v>264271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79162</v>
      </c>
      <c r="H47" s="648"/>
      <c r="I47" s="648"/>
      <c r="J47" s="649"/>
      <c r="K47" s="650">
        <v>79870</v>
      </c>
      <c r="L47" s="648"/>
      <c r="M47" s="648"/>
      <c r="N47" s="649"/>
      <c r="O47" s="650">
        <v>80999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22710235</v>
      </c>
      <c r="AA47" s="136">
        <f>AA39+AA42+AA46</f>
        <v>24169409</v>
      </c>
      <c r="AB47" s="137">
        <f>AB39+AB42+AB46</f>
        <v>23990117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77486</v>
      </c>
      <c r="H48" s="700"/>
      <c r="I48" s="700"/>
      <c r="J48" s="701"/>
      <c r="K48" s="702">
        <v>76583</v>
      </c>
      <c r="L48" s="700"/>
      <c r="M48" s="700"/>
      <c r="N48" s="701"/>
      <c r="O48" s="702">
        <v>80614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679464</v>
      </c>
      <c r="AA48" s="27">
        <v>834464</v>
      </c>
      <c r="AB48" s="28">
        <v>995464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45.5</v>
      </c>
      <c r="H49" s="635"/>
      <c r="I49" s="635"/>
      <c r="J49" s="636"/>
      <c r="K49" s="637">
        <v>47.4</v>
      </c>
      <c r="L49" s="635"/>
      <c r="M49" s="635"/>
      <c r="N49" s="636"/>
      <c r="O49" s="637">
        <v>48.93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1217494</v>
      </c>
      <c r="AA49" s="35">
        <v>1745633</v>
      </c>
      <c r="AB49" s="36">
        <v>1282067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2.5</v>
      </c>
      <c r="H50" s="624"/>
      <c r="I50" s="624"/>
      <c r="J50" s="625"/>
      <c r="K50" s="626">
        <v>2.4</v>
      </c>
      <c r="L50" s="624"/>
      <c r="M50" s="624"/>
      <c r="N50" s="625"/>
      <c r="O50" s="626">
        <v>2.15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7.3</v>
      </c>
      <c r="H51" s="624"/>
      <c r="I51" s="624"/>
      <c r="J51" s="625"/>
      <c r="K51" s="626">
        <v>6.9</v>
      </c>
      <c r="L51" s="624"/>
      <c r="M51" s="624"/>
      <c r="N51" s="625"/>
      <c r="O51" s="626">
        <v>7.026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1169472</v>
      </c>
      <c r="AA51" s="132">
        <v>1701203</v>
      </c>
      <c r="AB51" s="133">
        <v>1235751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22.8</v>
      </c>
      <c r="H52" s="624"/>
      <c r="I52" s="624"/>
      <c r="J52" s="625"/>
      <c r="K52" s="626">
        <v>22.9</v>
      </c>
      <c r="L52" s="624"/>
      <c r="M52" s="624"/>
      <c r="N52" s="625"/>
      <c r="O52" s="626">
        <v>22.938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1896958</v>
      </c>
      <c r="AA52" s="169">
        <f>AA48+AA49</f>
        <v>2580097</v>
      </c>
      <c r="AB52" s="170">
        <f>AB48+AB49</f>
        <v>2277531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21.9</v>
      </c>
      <c r="H53" s="639"/>
      <c r="I53" s="639"/>
      <c r="J53" s="640"/>
      <c r="K53" s="641">
        <v>20.3</v>
      </c>
      <c r="L53" s="639"/>
      <c r="M53" s="639"/>
      <c r="N53" s="640"/>
      <c r="O53" s="641">
        <v>18.95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16357024</v>
      </c>
      <c r="AA53" s="27">
        <v>16296982</v>
      </c>
      <c r="AB53" s="28">
        <v>16846982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45.2</v>
      </c>
      <c r="H54" s="635"/>
      <c r="I54" s="635"/>
      <c r="J54" s="636"/>
      <c r="K54" s="637">
        <v>47.7</v>
      </c>
      <c r="L54" s="635"/>
      <c r="M54" s="635"/>
      <c r="N54" s="636"/>
      <c r="O54" s="637">
        <v>49.908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5810028</v>
      </c>
      <c r="AA54" s="35">
        <v>6241881</v>
      </c>
      <c r="AB54" s="36">
        <v>7107417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539.1</v>
      </c>
      <c r="H55" s="624"/>
      <c r="I55" s="624"/>
      <c r="J55" s="625"/>
      <c r="K55" s="626">
        <v>450.2</v>
      </c>
      <c r="L55" s="624"/>
      <c r="M55" s="624"/>
      <c r="N55" s="625"/>
      <c r="O55" s="626">
        <v>561.1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10546996</v>
      </c>
      <c r="AA55" s="35">
        <v>10055101</v>
      </c>
      <c r="AB55" s="36">
        <v>9739565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108</v>
      </c>
      <c r="H56" s="624"/>
      <c r="I56" s="624"/>
      <c r="J56" s="625"/>
      <c r="K56" s="626">
        <v>111</v>
      </c>
      <c r="L56" s="624"/>
      <c r="M56" s="624"/>
      <c r="N56" s="625"/>
      <c r="O56" s="626">
        <v>103.79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102.2</v>
      </c>
      <c r="H57" s="624"/>
      <c r="I57" s="624"/>
      <c r="J57" s="625"/>
      <c r="K57" s="626">
        <v>104.3</v>
      </c>
      <c r="L57" s="624"/>
      <c r="M57" s="624"/>
      <c r="N57" s="625"/>
      <c r="O57" s="626">
        <v>100.47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4456253</v>
      </c>
      <c r="AA57" s="35">
        <v>5292330</v>
      </c>
      <c r="AB57" s="36">
        <v>4865604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/>
      <c r="H58" s="624"/>
      <c r="I58" s="624"/>
      <c r="J58" s="625"/>
      <c r="K58" s="626"/>
      <c r="L58" s="624"/>
      <c r="M58" s="624"/>
      <c r="N58" s="625"/>
      <c r="O58" s="626"/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3043054</v>
      </c>
      <c r="AA58" s="35">
        <v>3084538</v>
      </c>
      <c r="AB58" s="36">
        <v>3066613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431853</v>
      </c>
      <c r="AA59" s="35">
        <v>981346</v>
      </c>
      <c r="AB59" s="36">
        <v>1342255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7.3</v>
      </c>
      <c r="H60" s="624"/>
      <c r="I60" s="624"/>
      <c r="J60" s="625"/>
      <c r="K60" s="626">
        <v>6.8</v>
      </c>
      <c r="L60" s="624"/>
      <c r="M60" s="624"/>
      <c r="N60" s="625"/>
      <c r="O60" s="626">
        <v>6.52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>
        <v>981346</v>
      </c>
      <c r="AA60" s="107">
        <v>1226446</v>
      </c>
      <c r="AB60" s="108">
        <v>456736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2.6</v>
      </c>
      <c r="H61" s="624"/>
      <c r="I61" s="624"/>
      <c r="J61" s="625"/>
      <c r="K61" s="626">
        <v>2.4</v>
      </c>
      <c r="L61" s="624"/>
      <c r="M61" s="624"/>
      <c r="N61" s="625"/>
      <c r="O61" s="626">
        <v>2.24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20813277</v>
      </c>
      <c r="AA61" s="169">
        <f>AA53+AA57</f>
        <v>21589312</v>
      </c>
      <c r="AB61" s="170">
        <f>AB53+AB57</f>
        <v>21712586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9.9</v>
      </c>
      <c r="H62" s="624"/>
      <c r="I62" s="624"/>
      <c r="J62" s="625"/>
      <c r="K62" s="626">
        <v>9.3</v>
      </c>
      <c r="L62" s="624"/>
      <c r="M62" s="624"/>
      <c r="N62" s="625"/>
      <c r="O62" s="626">
        <v>8.76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47</v>
      </c>
      <c r="H63" s="624"/>
      <c r="I63" s="624"/>
      <c r="J63" s="625"/>
      <c r="K63" s="626">
        <v>47.8</v>
      </c>
      <c r="L63" s="624"/>
      <c r="M63" s="624"/>
      <c r="N63" s="625"/>
      <c r="O63" s="626">
        <v>50.95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23.5</v>
      </c>
      <c r="H64" s="639"/>
      <c r="I64" s="639"/>
      <c r="J64" s="640"/>
      <c r="K64" s="641">
        <v>23</v>
      </c>
      <c r="L64" s="639"/>
      <c r="M64" s="639"/>
      <c r="N64" s="640"/>
      <c r="O64" s="641">
        <v>23.85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425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18592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24929</v>
      </c>
      <c r="H6" s="691"/>
      <c r="I6" s="691"/>
      <c r="J6" s="691"/>
      <c r="K6" s="691"/>
      <c r="L6" s="693" t="s">
        <v>10</v>
      </c>
      <c r="M6" s="693"/>
      <c r="N6" s="693"/>
      <c r="O6" s="184">
        <v>7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14545723</v>
      </c>
      <c r="AA6" s="27">
        <f>AA7+AA14</f>
        <v>14236861</v>
      </c>
      <c r="AB6" s="28">
        <f>AB7+AB14</f>
        <v>14968055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209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14544473</v>
      </c>
      <c r="AA7" s="35">
        <f>AA8+AA12</f>
        <v>14236503</v>
      </c>
      <c r="AB7" s="36">
        <f>AB8+AB12</f>
        <v>14509859</v>
      </c>
    </row>
    <row r="8" spans="1:28" s="44" customFormat="1" ht="49.5" customHeight="1" thickBot="1">
      <c r="A8" s="37" t="s">
        <v>21</v>
      </c>
      <c r="B8" s="38"/>
      <c r="C8" s="38"/>
      <c r="D8" s="38"/>
      <c r="E8" s="38"/>
      <c r="F8" s="39"/>
      <c r="G8" s="718" t="s">
        <v>210</v>
      </c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20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13654566</v>
      </c>
      <c r="AA8" s="35">
        <v>13303643</v>
      </c>
      <c r="AB8" s="36">
        <v>12976063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9213299</v>
      </c>
      <c r="AA9" s="35">
        <v>8906438</v>
      </c>
      <c r="AB9" s="36">
        <v>8875738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f>SUM(G11:G15)</f>
        <v>613</v>
      </c>
      <c r="H10" s="49" t="s">
        <v>181</v>
      </c>
      <c r="I10" s="50">
        <f>SUM(I11:I15)</f>
        <v>578</v>
      </c>
      <c r="J10" s="51" t="s">
        <v>173</v>
      </c>
      <c r="K10" s="52">
        <f>SUM(K11:K15)</f>
        <v>613</v>
      </c>
      <c r="L10" s="53" t="s">
        <v>181</v>
      </c>
      <c r="M10" s="48">
        <f>SUM(M11:M15)</f>
        <v>578</v>
      </c>
      <c r="N10" s="51" t="s">
        <v>173</v>
      </c>
      <c r="O10" s="52">
        <f>SUM(O11:O15)</f>
        <v>613</v>
      </c>
      <c r="P10" s="53" t="s">
        <v>181</v>
      </c>
      <c r="Q10" s="48">
        <f>SUM(Q11:Q15)</f>
        <v>578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3451964</v>
      </c>
      <c r="AA10" s="35">
        <v>3542276</v>
      </c>
      <c r="AB10" s="36">
        <v>3447290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605</v>
      </c>
      <c r="H11" s="59" t="s">
        <v>181</v>
      </c>
      <c r="I11" s="60">
        <v>570</v>
      </c>
      <c r="J11" s="61" t="s">
        <v>173</v>
      </c>
      <c r="K11" s="62">
        <v>605</v>
      </c>
      <c r="L11" s="63" t="s">
        <v>181</v>
      </c>
      <c r="M11" s="58">
        <v>570</v>
      </c>
      <c r="N11" s="61" t="s">
        <v>173</v>
      </c>
      <c r="O11" s="62">
        <v>605</v>
      </c>
      <c r="P11" s="63" t="s">
        <v>181</v>
      </c>
      <c r="Q11" s="58">
        <v>570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619536</v>
      </c>
      <c r="AA11" s="35">
        <v>487542</v>
      </c>
      <c r="AB11" s="36">
        <v>297391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889907</v>
      </c>
      <c r="AA12" s="35">
        <v>932860</v>
      </c>
      <c r="AB12" s="36">
        <v>1533796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682490</v>
      </c>
      <c r="AA13" s="35">
        <v>748872</v>
      </c>
      <c r="AB13" s="36">
        <v>1295991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>
        <v>1250</v>
      </c>
      <c r="AA14" s="35">
        <v>358</v>
      </c>
      <c r="AB14" s="36">
        <v>458196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>
        <v>8</v>
      </c>
      <c r="H15" s="59" t="s">
        <v>181</v>
      </c>
      <c r="I15" s="60">
        <v>8</v>
      </c>
      <c r="J15" s="61" t="s">
        <v>173</v>
      </c>
      <c r="K15" s="62">
        <v>8</v>
      </c>
      <c r="L15" s="63" t="s">
        <v>181</v>
      </c>
      <c r="M15" s="58">
        <v>8</v>
      </c>
      <c r="N15" s="61" t="s">
        <v>173</v>
      </c>
      <c r="O15" s="62">
        <v>8</v>
      </c>
      <c r="P15" s="63" t="s">
        <v>181</v>
      </c>
      <c r="Q15" s="58">
        <v>8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14268463</v>
      </c>
      <c r="AA15" s="35">
        <f>AA16+AA23</f>
        <v>14713745</v>
      </c>
      <c r="AB15" s="36">
        <f>AB16+AB23</f>
        <v>15198509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77</v>
      </c>
      <c r="H16" s="673"/>
      <c r="I16" s="673"/>
      <c r="J16" s="674"/>
      <c r="K16" s="675">
        <v>73</v>
      </c>
      <c r="L16" s="673"/>
      <c r="M16" s="673"/>
      <c r="N16" s="674"/>
      <c r="O16" s="675">
        <v>71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14244232</v>
      </c>
      <c r="AA16" s="35">
        <f>AA17+AA21</f>
        <v>14469132</v>
      </c>
      <c r="AB16" s="36">
        <f>AB17+AB21</f>
        <v>14732238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30</v>
      </c>
      <c r="H17" s="677"/>
      <c r="I17" s="677"/>
      <c r="J17" s="678"/>
      <c r="K17" s="679">
        <v>30</v>
      </c>
      <c r="L17" s="677"/>
      <c r="M17" s="677"/>
      <c r="N17" s="678"/>
      <c r="O17" s="679">
        <v>30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13622265</v>
      </c>
      <c r="AA17" s="35">
        <v>13868386</v>
      </c>
      <c r="AB17" s="36">
        <v>14122300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32498</v>
      </c>
      <c r="H18" s="663"/>
      <c r="I18" s="663"/>
      <c r="J18" s="664"/>
      <c r="K18" s="665">
        <v>32498</v>
      </c>
      <c r="L18" s="663"/>
      <c r="M18" s="663"/>
      <c r="N18" s="664"/>
      <c r="O18" s="665">
        <v>32498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7808486</v>
      </c>
      <c r="AA18" s="35">
        <v>7997848</v>
      </c>
      <c r="AB18" s="36">
        <v>8052707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>
        <v>109</v>
      </c>
      <c r="H19" s="77" t="s">
        <v>181</v>
      </c>
      <c r="I19" s="78">
        <v>120</v>
      </c>
      <c r="J19" s="79" t="s">
        <v>189</v>
      </c>
      <c r="K19" s="80">
        <v>114</v>
      </c>
      <c r="L19" s="77" t="s">
        <v>181</v>
      </c>
      <c r="M19" s="78">
        <v>120</v>
      </c>
      <c r="N19" s="79" t="s">
        <v>189</v>
      </c>
      <c r="O19" s="80">
        <v>114</v>
      </c>
      <c r="P19" s="77" t="s">
        <v>181</v>
      </c>
      <c r="Q19" s="78">
        <v>120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2975036</v>
      </c>
      <c r="AA19" s="35">
        <v>3052808</v>
      </c>
      <c r="AB19" s="36">
        <v>3082291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979</v>
      </c>
      <c r="H20" s="85" t="s">
        <v>181</v>
      </c>
      <c r="I20" s="190">
        <f>G20/G10*100</f>
        <v>159.70636215334423</v>
      </c>
      <c r="J20" s="87" t="s">
        <v>211</v>
      </c>
      <c r="K20" s="88">
        <v>998</v>
      </c>
      <c r="L20" s="89" t="s">
        <v>212</v>
      </c>
      <c r="M20" s="190">
        <v>162.7</v>
      </c>
      <c r="N20" s="87" t="s">
        <v>211</v>
      </c>
      <c r="O20" s="88">
        <v>1050</v>
      </c>
      <c r="P20" s="89" t="s">
        <v>212</v>
      </c>
      <c r="Q20" s="190">
        <f>O20/O10*100</f>
        <v>171.28874388254488</v>
      </c>
      <c r="R20" s="90" t="s">
        <v>211</v>
      </c>
      <c r="S20" s="71"/>
      <c r="T20" s="630"/>
      <c r="U20" s="622"/>
      <c r="V20" s="662"/>
      <c r="W20" s="647"/>
      <c r="X20" s="42" t="s">
        <v>63</v>
      </c>
      <c r="Y20" s="43"/>
      <c r="Z20" s="34">
        <v>362686</v>
      </c>
      <c r="AA20" s="35">
        <v>399490</v>
      </c>
      <c r="AB20" s="36">
        <v>463036</v>
      </c>
    </row>
    <row r="21" spans="1:28" s="44" customFormat="1" ht="29.25" customHeight="1">
      <c r="A21" s="630"/>
      <c r="B21" s="667" t="s">
        <v>213</v>
      </c>
      <c r="C21" s="42" t="s">
        <v>65</v>
      </c>
      <c r="D21" s="65"/>
      <c r="E21" s="65"/>
      <c r="F21" s="47"/>
      <c r="G21" s="60">
        <v>136</v>
      </c>
      <c r="H21" s="85" t="s">
        <v>212</v>
      </c>
      <c r="I21" s="91">
        <f>G21/G10*100</f>
        <v>22.185970636215334</v>
      </c>
      <c r="J21" s="87" t="s">
        <v>211</v>
      </c>
      <c r="K21" s="88">
        <v>137</v>
      </c>
      <c r="L21" s="89" t="s">
        <v>212</v>
      </c>
      <c r="M21" s="91">
        <f>K21/K10*100</f>
        <v>22.34910277324633</v>
      </c>
      <c r="N21" s="87" t="s">
        <v>211</v>
      </c>
      <c r="O21" s="88">
        <v>136</v>
      </c>
      <c r="P21" s="89" t="s">
        <v>212</v>
      </c>
      <c r="Q21" s="91">
        <f>O21/O10*100</f>
        <v>22.185970636215334</v>
      </c>
      <c r="R21" s="90" t="s">
        <v>211</v>
      </c>
      <c r="S21" s="71"/>
      <c r="T21" s="630"/>
      <c r="U21" s="622"/>
      <c r="V21" s="662"/>
      <c r="W21" s="41" t="s">
        <v>66</v>
      </c>
      <c r="X21" s="42"/>
      <c r="Y21" s="43" t="s">
        <v>214</v>
      </c>
      <c r="Z21" s="34">
        <v>621967</v>
      </c>
      <c r="AA21" s="35">
        <v>600746</v>
      </c>
      <c r="AB21" s="36">
        <v>609938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584</v>
      </c>
      <c r="H22" s="85" t="s">
        <v>212</v>
      </c>
      <c r="I22" s="91">
        <f>G22/G10*100</f>
        <v>95.26916802610114</v>
      </c>
      <c r="J22" s="87" t="s">
        <v>211</v>
      </c>
      <c r="K22" s="88">
        <v>581</v>
      </c>
      <c r="L22" s="89" t="s">
        <v>212</v>
      </c>
      <c r="M22" s="91">
        <f>K22/K10*100</f>
        <v>94.77977161500816</v>
      </c>
      <c r="N22" s="87" t="s">
        <v>211</v>
      </c>
      <c r="O22" s="88">
        <v>619</v>
      </c>
      <c r="P22" s="89" t="s">
        <v>212</v>
      </c>
      <c r="Q22" s="91">
        <f>O22/O10*100</f>
        <v>100.97879282218598</v>
      </c>
      <c r="R22" s="90" t="s">
        <v>211</v>
      </c>
      <c r="S22" s="71"/>
      <c r="T22" s="630"/>
      <c r="U22" s="622"/>
      <c r="V22" s="647"/>
      <c r="W22" s="66" t="s">
        <v>215</v>
      </c>
      <c r="X22" s="42" t="s">
        <v>69</v>
      </c>
      <c r="Y22" s="43"/>
      <c r="Z22" s="34">
        <v>99793</v>
      </c>
      <c r="AA22" s="35">
        <v>91065</v>
      </c>
      <c r="AB22" s="36">
        <v>80873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49</v>
      </c>
      <c r="H23" s="77" t="s">
        <v>212</v>
      </c>
      <c r="I23" s="96">
        <f>G23/G10*100</f>
        <v>7.99347471451876</v>
      </c>
      <c r="J23" s="97" t="s">
        <v>211</v>
      </c>
      <c r="K23" s="98">
        <v>51</v>
      </c>
      <c r="L23" s="99" t="s">
        <v>212</v>
      </c>
      <c r="M23" s="96">
        <f>K23/K10*100</f>
        <v>8.31973898858075</v>
      </c>
      <c r="N23" s="97" t="s">
        <v>211</v>
      </c>
      <c r="O23" s="98">
        <v>52</v>
      </c>
      <c r="P23" s="99" t="s">
        <v>212</v>
      </c>
      <c r="Q23" s="96">
        <f>O23/O10*100</f>
        <v>8.482871125611746</v>
      </c>
      <c r="R23" s="81" t="s">
        <v>211</v>
      </c>
      <c r="S23" s="71"/>
      <c r="T23" s="630"/>
      <c r="U23" s="628"/>
      <c r="V23" s="41" t="s">
        <v>71</v>
      </c>
      <c r="W23" s="41"/>
      <c r="X23" s="42"/>
      <c r="Y23" s="43" t="s">
        <v>216</v>
      </c>
      <c r="Z23" s="34">
        <v>24231</v>
      </c>
      <c r="AA23" s="35">
        <v>244613</v>
      </c>
      <c r="AB23" s="36">
        <v>466271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217</v>
      </c>
      <c r="G24" s="696">
        <v>76.1</v>
      </c>
      <c r="H24" s="696"/>
      <c r="I24" s="696"/>
      <c r="J24" s="697"/>
      <c r="K24" s="698">
        <f>K30/(K10*365)*100</f>
        <v>71.13946680372746</v>
      </c>
      <c r="L24" s="696"/>
      <c r="M24" s="696"/>
      <c r="N24" s="697"/>
      <c r="O24" s="698">
        <f>O30/(O10*365)*100</f>
        <v>66.01577688886903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300241</v>
      </c>
      <c r="AA24" s="179">
        <f>AA7-AA16</f>
        <v>-232629</v>
      </c>
      <c r="AB24" s="180">
        <f>AB7-AB16</f>
        <v>-222379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217</v>
      </c>
      <c r="G25" s="624">
        <v>80.8</v>
      </c>
      <c r="H25" s="624"/>
      <c r="I25" s="624"/>
      <c r="J25" s="625"/>
      <c r="K25" s="626">
        <v>75.4</v>
      </c>
      <c r="L25" s="624"/>
      <c r="M25" s="624"/>
      <c r="N25" s="625"/>
      <c r="O25" s="626">
        <v>70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277260</v>
      </c>
      <c r="AA25" s="182">
        <f>AA6-AA15</f>
        <v>-476884</v>
      </c>
      <c r="AB25" s="183">
        <f>AB6-AB15</f>
        <v>-230454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217</v>
      </c>
      <c r="G26" s="624">
        <v>81.9</v>
      </c>
      <c r="H26" s="624"/>
      <c r="I26" s="624"/>
      <c r="J26" s="625"/>
      <c r="K26" s="626">
        <v>76.5</v>
      </c>
      <c r="L26" s="624"/>
      <c r="M26" s="624"/>
      <c r="N26" s="625"/>
      <c r="O26" s="626">
        <v>71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218</v>
      </c>
      <c r="Z26" s="26">
        <v>919579</v>
      </c>
      <c r="AA26" s="27">
        <v>910688</v>
      </c>
      <c r="AB26" s="28">
        <v>1091989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13</v>
      </c>
      <c r="H27" s="624"/>
      <c r="I27" s="624"/>
      <c r="J27" s="625"/>
      <c r="K27" s="626">
        <v>12.4</v>
      </c>
      <c r="L27" s="624"/>
      <c r="M27" s="624"/>
      <c r="N27" s="625"/>
      <c r="O27" s="626">
        <v>12</v>
      </c>
      <c r="P27" s="624"/>
      <c r="Q27" s="624"/>
      <c r="R27" s="627"/>
      <c r="S27" s="71"/>
      <c r="T27" s="630"/>
      <c r="U27" s="621" t="s">
        <v>215</v>
      </c>
      <c r="V27" s="41" t="s">
        <v>85</v>
      </c>
      <c r="W27" s="41"/>
      <c r="X27" s="42"/>
      <c r="Y27" s="43"/>
      <c r="Z27" s="34">
        <v>594000</v>
      </c>
      <c r="AA27" s="35">
        <v>383800</v>
      </c>
      <c r="AB27" s="36">
        <v>591800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467</v>
      </c>
      <c r="H28" s="648"/>
      <c r="I28" s="648"/>
      <c r="J28" s="649"/>
      <c r="K28" s="650">
        <v>436</v>
      </c>
      <c r="L28" s="648"/>
      <c r="M28" s="648"/>
      <c r="N28" s="649"/>
      <c r="O28" s="650">
        <v>405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317067</v>
      </c>
      <c r="AA28" s="35">
        <v>431246</v>
      </c>
      <c r="AB28" s="36">
        <v>481905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968</v>
      </c>
      <c r="H29" s="648"/>
      <c r="I29" s="648"/>
      <c r="J29" s="649"/>
      <c r="K29" s="650">
        <v>1009</v>
      </c>
      <c r="L29" s="648"/>
      <c r="M29" s="648"/>
      <c r="N29" s="649"/>
      <c r="O29" s="650">
        <v>950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219</v>
      </c>
      <c r="Z29" s="34">
        <v>1152556</v>
      </c>
      <c r="AA29" s="35">
        <v>1266876</v>
      </c>
      <c r="AB29" s="36">
        <v>1407537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170838</v>
      </c>
      <c r="H30" s="656"/>
      <c r="I30" s="656"/>
      <c r="J30" s="657"/>
      <c r="K30" s="658">
        <v>159171</v>
      </c>
      <c r="L30" s="656"/>
      <c r="M30" s="656"/>
      <c r="N30" s="657"/>
      <c r="O30" s="658">
        <v>147707</v>
      </c>
      <c r="P30" s="656"/>
      <c r="Q30" s="656"/>
      <c r="R30" s="659"/>
      <c r="S30" s="71"/>
      <c r="T30" s="630"/>
      <c r="U30" s="621" t="s">
        <v>215</v>
      </c>
      <c r="V30" s="41" t="s">
        <v>93</v>
      </c>
      <c r="W30" s="41"/>
      <c r="X30" s="42"/>
      <c r="Y30" s="43"/>
      <c r="Z30" s="34">
        <v>656448</v>
      </c>
      <c r="AA30" s="35">
        <v>800590</v>
      </c>
      <c r="AB30" s="36">
        <v>869802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236259</v>
      </c>
      <c r="H31" s="656"/>
      <c r="I31" s="656"/>
      <c r="J31" s="657"/>
      <c r="K31" s="658">
        <v>247249</v>
      </c>
      <c r="L31" s="656"/>
      <c r="M31" s="656"/>
      <c r="N31" s="657"/>
      <c r="O31" s="658">
        <v>231685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432738</v>
      </c>
      <c r="AA31" s="35">
        <v>397466</v>
      </c>
      <c r="AB31" s="36">
        <v>474515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217</v>
      </c>
      <c r="G32" s="624">
        <v>138.3</v>
      </c>
      <c r="H32" s="624"/>
      <c r="I32" s="624"/>
      <c r="J32" s="625"/>
      <c r="K32" s="626">
        <v>155.3</v>
      </c>
      <c r="L32" s="624"/>
      <c r="M32" s="624"/>
      <c r="N32" s="625"/>
      <c r="O32" s="626">
        <v>156.9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220</v>
      </c>
      <c r="Z32" s="178">
        <f>Z26-Z29</f>
        <v>-232977</v>
      </c>
      <c r="AA32" s="179">
        <f>AA26-AA29</f>
        <v>-356188</v>
      </c>
      <c r="AB32" s="180">
        <f>AB26-AB29</f>
        <v>-315548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12515</v>
      </c>
      <c r="H33" s="656"/>
      <c r="I33" s="656"/>
      <c r="J33" s="657"/>
      <c r="K33" s="658">
        <v>12063</v>
      </c>
      <c r="L33" s="656"/>
      <c r="M33" s="656"/>
      <c r="N33" s="657"/>
      <c r="O33" s="658">
        <v>11379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221</v>
      </c>
      <c r="Z33" s="34">
        <v>232977</v>
      </c>
      <c r="AA33" s="35">
        <v>356188</v>
      </c>
      <c r="AB33" s="36">
        <v>315548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3.5</v>
      </c>
      <c r="H34" s="624"/>
      <c r="I34" s="624"/>
      <c r="J34" s="625"/>
      <c r="K34" s="626">
        <v>3.2</v>
      </c>
      <c r="L34" s="624"/>
      <c r="M34" s="624"/>
      <c r="N34" s="625"/>
      <c r="O34" s="626">
        <v>3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4.8</v>
      </c>
      <c r="H35" s="624"/>
      <c r="I35" s="624"/>
      <c r="J35" s="625"/>
      <c r="K35" s="626">
        <v>4.9</v>
      </c>
      <c r="L35" s="624"/>
      <c r="M35" s="624"/>
      <c r="N35" s="625"/>
      <c r="O35" s="626">
        <v>4.8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2896993</v>
      </c>
      <c r="AA35" s="123">
        <v>2669219</v>
      </c>
      <c r="AB35" s="117">
        <v>2618871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257</v>
      </c>
      <c r="H36" s="648"/>
      <c r="I36" s="648"/>
      <c r="J36" s="649"/>
      <c r="K36" s="650">
        <v>248</v>
      </c>
      <c r="L36" s="648"/>
      <c r="M36" s="648"/>
      <c r="N36" s="649"/>
      <c r="O36" s="650">
        <v>253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1620343</v>
      </c>
      <c r="AA36" s="27">
        <v>1668018</v>
      </c>
      <c r="AB36" s="28">
        <v>2533483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217</v>
      </c>
      <c r="G37" s="624">
        <v>130</v>
      </c>
      <c r="H37" s="624"/>
      <c r="I37" s="624"/>
      <c r="J37" s="625"/>
      <c r="K37" s="626">
        <v>131.4</v>
      </c>
      <c r="L37" s="624"/>
      <c r="M37" s="624"/>
      <c r="N37" s="625"/>
      <c r="O37" s="626">
        <v>125.6</v>
      </c>
      <c r="P37" s="624"/>
      <c r="Q37" s="624"/>
      <c r="R37" s="627"/>
      <c r="S37" s="128"/>
      <c r="T37" s="129" t="s">
        <v>215</v>
      </c>
      <c r="U37" s="130"/>
      <c r="V37" s="92" t="s">
        <v>109</v>
      </c>
      <c r="W37" s="93"/>
      <c r="X37" s="93"/>
      <c r="Y37" s="105"/>
      <c r="Z37" s="131">
        <v>1572620</v>
      </c>
      <c r="AA37" s="132">
        <v>1616358</v>
      </c>
      <c r="AB37" s="133">
        <v>1470678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53930</v>
      </c>
      <c r="H38" s="648"/>
      <c r="I38" s="648"/>
      <c r="J38" s="649"/>
      <c r="K38" s="650">
        <v>55955</v>
      </c>
      <c r="L38" s="648"/>
      <c r="M38" s="648"/>
      <c r="N38" s="649"/>
      <c r="O38" s="650">
        <v>60090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15085975</v>
      </c>
      <c r="AA38" s="136">
        <v>15605936</v>
      </c>
      <c r="AB38" s="137">
        <v>16167135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14611</v>
      </c>
      <c r="H39" s="648"/>
      <c r="I39" s="648"/>
      <c r="J39" s="649"/>
      <c r="K39" s="650">
        <v>14327</v>
      </c>
      <c r="L39" s="648"/>
      <c r="M39" s="648"/>
      <c r="N39" s="649"/>
      <c r="O39" s="650">
        <v>14879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9657105</v>
      </c>
      <c r="AA39" s="27">
        <v>9837260</v>
      </c>
      <c r="AB39" s="28">
        <v>10214296</v>
      </c>
    </row>
    <row r="40" spans="1:28" s="44" customFormat="1" ht="29.25" customHeight="1">
      <c r="A40" s="633"/>
      <c r="B40" s="139" t="s">
        <v>222</v>
      </c>
      <c r="C40" s="140"/>
      <c r="D40" s="141" t="s">
        <v>118</v>
      </c>
      <c r="E40" s="65"/>
      <c r="F40" s="47"/>
      <c r="G40" s="648">
        <v>32529</v>
      </c>
      <c r="H40" s="648"/>
      <c r="I40" s="648"/>
      <c r="J40" s="649"/>
      <c r="K40" s="650">
        <v>31987</v>
      </c>
      <c r="L40" s="648"/>
      <c r="M40" s="648"/>
      <c r="N40" s="649"/>
      <c r="O40" s="650">
        <v>34045</v>
      </c>
      <c r="P40" s="648"/>
      <c r="Q40" s="648"/>
      <c r="R40" s="651"/>
      <c r="S40" s="71"/>
      <c r="T40" s="630"/>
      <c r="U40" s="630"/>
      <c r="V40" s="621" t="s">
        <v>215</v>
      </c>
      <c r="W40" s="41" t="s">
        <v>119</v>
      </c>
      <c r="X40" s="42"/>
      <c r="Y40" s="43"/>
      <c r="Z40" s="34">
        <v>17655584</v>
      </c>
      <c r="AA40" s="35">
        <v>18270172</v>
      </c>
      <c r="AB40" s="36">
        <v>18429512</v>
      </c>
    </row>
    <row r="41" spans="1:28" s="44" customFormat="1" ht="29.25" customHeight="1">
      <c r="A41" s="633"/>
      <c r="B41" s="142"/>
      <c r="C41" s="143"/>
      <c r="D41" s="144" t="s">
        <v>215</v>
      </c>
      <c r="E41" s="42" t="s">
        <v>120</v>
      </c>
      <c r="F41" s="47"/>
      <c r="G41" s="648">
        <v>4315</v>
      </c>
      <c r="H41" s="648"/>
      <c r="I41" s="648"/>
      <c r="J41" s="649"/>
      <c r="K41" s="650">
        <v>4721</v>
      </c>
      <c r="L41" s="648"/>
      <c r="M41" s="648"/>
      <c r="N41" s="649"/>
      <c r="O41" s="650">
        <v>4716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10540410</v>
      </c>
      <c r="AA41" s="35">
        <v>10833067</v>
      </c>
      <c r="AB41" s="36">
        <v>11036414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35049</v>
      </c>
      <c r="H42" s="648"/>
      <c r="I42" s="648"/>
      <c r="J42" s="649"/>
      <c r="K42" s="650">
        <v>36203</v>
      </c>
      <c r="L42" s="648"/>
      <c r="M42" s="648"/>
      <c r="N42" s="649"/>
      <c r="O42" s="650">
        <v>40060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4075691</v>
      </c>
      <c r="AA42" s="149">
        <v>3996894</v>
      </c>
      <c r="AB42" s="150">
        <v>4046418</v>
      </c>
    </row>
    <row r="43" spans="1:28" s="44" customFormat="1" ht="29.25" customHeight="1">
      <c r="A43" s="633"/>
      <c r="B43" s="146" t="s">
        <v>125</v>
      </c>
      <c r="C43" s="143"/>
      <c r="D43" s="646" t="s">
        <v>215</v>
      </c>
      <c r="E43" s="42" t="s">
        <v>126</v>
      </c>
      <c r="F43" s="47"/>
      <c r="G43" s="648">
        <v>19181</v>
      </c>
      <c r="H43" s="648"/>
      <c r="I43" s="648"/>
      <c r="J43" s="649"/>
      <c r="K43" s="650">
        <v>19679</v>
      </c>
      <c r="L43" s="648"/>
      <c r="M43" s="648"/>
      <c r="N43" s="649"/>
      <c r="O43" s="650">
        <v>21225</v>
      </c>
      <c r="P43" s="648"/>
      <c r="Q43" s="648"/>
      <c r="R43" s="651"/>
      <c r="S43" s="71"/>
      <c r="T43" s="630"/>
      <c r="U43" s="630"/>
      <c r="V43" s="621" t="s">
        <v>215</v>
      </c>
      <c r="W43" s="41" t="s">
        <v>127</v>
      </c>
      <c r="X43" s="42"/>
      <c r="Y43" s="43"/>
      <c r="Z43" s="34">
        <v>1360258</v>
      </c>
      <c r="AA43" s="35">
        <v>1343623</v>
      </c>
      <c r="AB43" s="36">
        <v>1314508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3320</v>
      </c>
      <c r="H44" s="648"/>
      <c r="I44" s="648"/>
      <c r="J44" s="649"/>
      <c r="K44" s="650">
        <v>3594</v>
      </c>
      <c r="L44" s="648"/>
      <c r="M44" s="648"/>
      <c r="N44" s="649"/>
      <c r="O44" s="650">
        <v>3756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2675943</v>
      </c>
      <c r="AA44" s="154">
        <v>2618779</v>
      </c>
      <c r="AB44" s="155">
        <v>2695535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48">
        <v>681</v>
      </c>
      <c r="H45" s="648"/>
      <c r="I45" s="648"/>
      <c r="J45" s="649"/>
      <c r="K45" s="652">
        <v>-1173</v>
      </c>
      <c r="L45" s="653"/>
      <c r="M45" s="653"/>
      <c r="N45" s="655"/>
      <c r="O45" s="652">
        <v>-607</v>
      </c>
      <c r="P45" s="653"/>
      <c r="Q45" s="653"/>
      <c r="R45" s="655"/>
      <c r="S45" s="71"/>
      <c r="T45" s="630"/>
      <c r="U45" s="630"/>
      <c r="V45" s="628"/>
      <c r="W45" s="41" t="s">
        <v>132</v>
      </c>
      <c r="X45" s="42"/>
      <c r="Y45" s="43"/>
      <c r="Z45" s="34">
        <v>38490</v>
      </c>
      <c r="AA45" s="35">
        <v>33492</v>
      </c>
      <c r="AB45" s="36">
        <v>35375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81325</v>
      </c>
      <c r="AA46" s="149">
        <v>91184</v>
      </c>
      <c r="AB46" s="150">
        <v>99835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65452</v>
      </c>
      <c r="H47" s="648"/>
      <c r="I47" s="648"/>
      <c r="J47" s="649"/>
      <c r="K47" s="650">
        <v>63944</v>
      </c>
      <c r="L47" s="648"/>
      <c r="M47" s="648"/>
      <c r="N47" s="649"/>
      <c r="O47" s="650">
        <v>62370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13814121</v>
      </c>
      <c r="AA47" s="136">
        <f>AA39+AA42+AA46</f>
        <v>13925338</v>
      </c>
      <c r="AB47" s="137">
        <f>AB39+AB42+AB46</f>
        <v>14360549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65297</v>
      </c>
      <c r="H48" s="700"/>
      <c r="I48" s="700"/>
      <c r="J48" s="701"/>
      <c r="K48" s="702">
        <v>66659</v>
      </c>
      <c r="L48" s="700"/>
      <c r="M48" s="700"/>
      <c r="N48" s="701"/>
      <c r="O48" s="702">
        <v>67879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200854</v>
      </c>
      <c r="AA48" s="27">
        <v>153456</v>
      </c>
      <c r="AB48" s="28">
        <v>139490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54.8</v>
      </c>
      <c r="H49" s="635"/>
      <c r="I49" s="635"/>
      <c r="J49" s="636"/>
      <c r="K49" s="637">
        <v>55.3</v>
      </c>
      <c r="L49" s="635"/>
      <c r="M49" s="635"/>
      <c r="N49" s="636"/>
      <c r="O49" s="637">
        <v>54.7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1178698</v>
      </c>
      <c r="AA49" s="35">
        <v>1327675</v>
      </c>
      <c r="AB49" s="36">
        <v>1427547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0.7</v>
      </c>
      <c r="H50" s="624"/>
      <c r="I50" s="624"/>
      <c r="J50" s="625"/>
      <c r="K50" s="626">
        <v>0.6</v>
      </c>
      <c r="L50" s="624"/>
      <c r="M50" s="624"/>
      <c r="N50" s="625"/>
      <c r="O50" s="626">
        <v>0.6</v>
      </c>
      <c r="P50" s="624"/>
      <c r="Q50" s="624"/>
      <c r="R50" s="627"/>
      <c r="S50" s="71"/>
      <c r="T50" s="630"/>
      <c r="U50" s="630"/>
      <c r="V50" s="621" t="s">
        <v>215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2.5</v>
      </c>
      <c r="H51" s="624"/>
      <c r="I51" s="624"/>
      <c r="J51" s="625"/>
      <c r="K51" s="626">
        <v>2.8</v>
      </c>
      <c r="L51" s="624"/>
      <c r="M51" s="624"/>
      <c r="N51" s="625"/>
      <c r="O51" s="626">
        <v>3.1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1112896</v>
      </c>
      <c r="AA51" s="132">
        <v>1263165</v>
      </c>
      <c r="AB51" s="133">
        <v>923701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20.9</v>
      </c>
      <c r="H52" s="624"/>
      <c r="I52" s="624"/>
      <c r="J52" s="625"/>
      <c r="K52" s="626">
        <v>21.1</v>
      </c>
      <c r="L52" s="624"/>
      <c r="M52" s="624"/>
      <c r="N52" s="625"/>
      <c r="O52" s="626">
        <v>20.9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1379552</v>
      </c>
      <c r="AA52" s="169">
        <f>AA48+AA49</f>
        <v>1481131</v>
      </c>
      <c r="AB52" s="170">
        <f>AB48+AB49</f>
        <v>1567037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21</v>
      </c>
      <c r="H53" s="639"/>
      <c r="I53" s="639"/>
      <c r="J53" s="640"/>
      <c r="K53" s="641">
        <v>20.2</v>
      </c>
      <c r="L53" s="639"/>
      <c r="M53" s="639"/>
      <c r="N53" s="640"/>
      <c r="O53" s="641">
        <v>20.7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12239746</v>
      </c>
      <c r="AA53" s="27">
        <v>12634226</v>
      </c>
      <c r="AB53" s="28">
        <v>13212215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68.7</v>
      </c>
      <c r="H54" s="635"/>
      <c r="I54" s="635"/>
      <c r="J54" s="636"/>
      <c r="K54" s="637">
        <v>68.3</v>
      </c>
      <c r="L54" s="635"/>
      <c r="M54" s="635"/>
      <c r="N54" s="636"/>
      <c r="O54" s="637">
        <v>67.9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9295041</v>
      </c>
      <c r="AA54" s="35">
        <v>9703187</v>
      </c>
      <c r="AB54" s="36">
        <v>10163892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345.8</v>
      </c>
      <c r="H55" s="624"/>
      <c r="I55" s="624"/>
      <c r="J55" s="625"/>
      <c r="K55" s="626">
        <v>301</v>
      </c>
      <c r="L55" s="624"/>
      <c r="M55" s="624"/>
      <c r="N55" s="625"/>
      <c r="O55" s="626">
        <v>283.5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2944705</v>
      </c>
      <c r="AA55" s="35">
        <v>2931039</v>
      </c>
      <c r="AB55" s="36">
        <v>3048323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102.1</v>
      </c>
      <c r="H56" s="624"/>
      <c r="I56" s="624"/>
      <c r="J56" s="625"/>
      <c r="K56" s="626">
        <v>98.4</v>
      </c>
      <c r="L56" s="624"/>
      <c r="M56" s="624"/>
      <c r="N56" s="625"/>
      <c r="O56" s="626">
        <v>98.5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100.2</v>
      </c>
      <c r="H57" s="624"/>
      <c r="I57" s="624"/>
      <c r="J57" s="625"/>
      <c r="K57" s="626">
        <v>95.9</v>
      </c>
      <c r="L57" s="624"/>
      <c r="M57" s="624"/>
      <c r="N57" s="625"/>
      <c r="O57" s="626">
        <v>91.9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194823</v>
      </c>
      <c r="AA57" s="179">
        <v>-190019</v>
      </c>
      <c r="AB57" s="180">
        <v>-418704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19.3</v>
      </c>
      <c r="H58" s="624"/>
      <c r="I58" s="624"/>
      <c r="J58" s="625"/>
      <c r="K58" s="626">
        <v>23.3</v>
      </c>
      <c r="L58" s="624"/>
      <c r="M58" s="624"/>
      <c r="N58" s="625"/>
      <c r="O58" s="626">
        <v>25.7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2823841</v>
      </c>
      <c r="AA58" s="35">
        <v>2915883</v>
      </c>
      <c r="AB58" s="36">
        <v>2917652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3.2</v>
      </c>
      <c r="H60" s="624"/>
      <c r="I60" s="624"/>
      <c r="J60" s="625"/>
      <c r="K60" s="626">
        <v>3</v>
      </c>
      <c r="L60" s="624"/>
      <c r="M60" s="624"/>
      <c r="N60" s="625"/>
      <c r="O60" s="626">
        <v>3.7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-2629018</v>
      </c>
      <c r="AA60" s="182">
        <v>-3105902</v>
      </c>
      <c r="AB60" s="183">
        <v>-3336356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0.7</v>
      </c>
      <c r="H61" s="624"/>
      <c r="I61" s="624"/>
      <c r="J61" s="625"/>
      <c r="K61" s="626">
        <v>0.7</v>
      </c>
      <c r="L61" s="624"/>
      <c r="M61" s="624"/>
      <c r="N61" s="625"/>
      <c r="O61" s="626">
        <v>0.6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12434569</v>
      </c>
      <c r="AA61" s="169">
        <f>AA53+AA57</f>
        <v>12444207</v>
      </c>
      <c r="AB61" s="170">
        <f>AB53+AB57</f>
        <v>12793511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3.9</v>
      </c>
      <c r="H62" s="624"/>
      <c r="I62" s="624"/>
      <c r="J62" s="625"/>
      <c r="K62" s="626">
        <v>3.7</v>
      </c>
      <c r="L62" s="624"/>
      <c r="M62" s="624"/>
      <c r="N62" s="625"/>
      <c r="O62" s="626">
        <v>4.3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57.2</v>
      </c>
      <c r="H63" s="624"/>
      <c r="I63" s="624"/>
      <c r="J63" s="625"/>
      <c r="K63" s="626">
        <v>60.1</v>
      </c>
      <c r="L63" s="624"/>
      <c r="M63" s="624"/>
      <c r="N63" s="625"/>
      <c r="O63" s="626">
        <v>62.1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21.8</v>
      </c>
      <c r="H64" s="639"/>
      <c r="I64" s="639"/>
      <c r="J64" s="640"/>
      <c r="K64" s="641">
        <v>22.9</v>
      </c>
      <c r="L64" s="639"/>
      <c r="M64" s="639"/>
      <c r="N64" s="640"/>
      <c r="O64" s="641">
        <v>23.8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426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34243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34243</v>
      </c>
      <c r="H6" s="691"/>
      <c r="I6" s="691"/>
      <c r="J6" s="691"/>
      <c r="K6" s="691"/>
      <c r="L6" s="693" t="s">
        <v>10</v>
      </c>
      <c r="M6" s="693"/>
      <c r="N6" s="693"/>
      <c r="O6" s="184">
        <v>15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2388571</v>
      </c>
      <c r="AA6" s="27">
        <f>AA7+AA14</f>
        <v>2515212</v>
      </c>
      <c r="AB6" s="28">
        <f>AB7+AB14</f>
        <v>2607032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223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2388571</v>
      </c>
      <c r="AA7" s="35">
        <f>AA8+AA12</f>
        <v>2515212</v>
      </c>
      <c r="AB7" s="36">
        <f>AB8+AB12</f>
        <v>2518695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21" t="s">
        <v>224</v>
      </c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3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1738218</v>
      </c>
      <c r="AA8" s="35">
        <v>1737079</v>
      </c>
      <c r="AB8" s="36">
        <v>1570234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1274430</v>
      </c>
      <c r="AA9" s="35">
        <v>1281441</v>
      </c>
      <c r="AB9" s="36">
        <v>1188614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198</v>
      </c>
      <c r="H10" s="49" t="s">
        <v>181</v>
      </c>
      <c r="I10" s="50">
        <v>178</v>
      </c>
      <c r="J10" s="51" t="s">
        <v>173</v>
      </c>
      <c r="K10" s="52">
        <v>198</v>
      </c>
      <c r="L10" s="53" t="s">
        <v>181</v>
      </c>
      <c r="M10" s="48">
        <v>178</v>
      </c>
      <c r="N10" s="51" t="s">
        <v>173</v>
      </c>
      <c r="O10" s="52">
        <v>198</v>
      </c>
      <c r="P10" s="53" t="s">
        <v>181</v>
      </c>
      <c r="Q10" s="48">
        <v>178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315522</v>
      </c>
      <c r="AA10" s="35">
        <v>280614</v>
      </c>
      <c r="AB10" s="36">
        <v>251587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198</v>
      </c>
      <c r="H11" s="59" t="s">
        <v>181</v>
      </c>
      <c r="I11" s="60">
        <v>178</v>
      </c>
      <c r="J11" s="61" t="s">
        <v>173</v>
      </c>
      <c r="K11" s="62">
        <v>198</v>
      </c>
      <c r="L11" s="63" t="s">
        <v>181</v>
      </c>
      <c r="M11" s="58">
        <v>178</v>
      </c>
      <c r="N11" s="61" t="s">
        <v>173</v>
      </c>
      <c r="O11" s="62">
        <v>198</v>
      </c>
      <c r="P11" s="63" t="s">
        <v>181</v>
      </c>
      <c r="Q11" s="58">
        <v>178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29925</v>
      </c>
      <c r="AA11" s="35">
        <v>30195</v>
      </c>
      <c r="AB11" s="36">
        <v>30819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650353</v>
      </c>
      <c r="AA12" s="35">
        <v>778133</v>
      </c>
      <c r="AB12" s="36">
        <v>948461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421415</v>
      </c>
      <c r="AA13" s="35">
        <v>534895</v>
      </c>
      <c r="AB13" s="36">
        <v>707419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>
        <v>88337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184</v>
      </c>
      <c r="N15" s="61" t="s">
        <v>173</v>
      </c>
      <c r="O15" s="62"/>
      <c r="P15" s="63" t="s">
        <v>181</v>
      </c>
      <c r="Q15" s="58" t="s">
        <v>184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2461857</v>
      </c>
      <c r="AA15" s="35">
        <f>AA16+AA23</f>
        <v>2538058</v>
      </c>
      <c r="AB15" s="36">
        <f>AB16+AB23</f>
        <v>2628204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15</v>
      </c>
      <c r="H16" s="673"/>
      <c r="I16" s="673"/>
      <c r="J16" s="674"/>
      <c r="K16" s="675">
        <v>15</v>
      </c>
      <c r="L16" s="673"/>
      <c r="M16" s="673"/>
      <c r="N16" s="674"/>
      <c r="O16" s="675">
        <v>15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2458586</v>
      </c>
      <c r="AA16" s="35">
        <f>AA17+AA21</f>
        <v>2536320</v>
      </c>
      <c r="AB16" s="36">
        <f>AB17+AB21</f>
        <v>2532507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/>
      <c r="H17" s="677"/>
      <c r="I17" s="677"/>
      <c r="J17" s="678"/>
      <c r="K17" s="679"/>
      <c r="L17" s="677"/>
      <c r="M17" s="677"/>
      <c r="N17" s="678"/>
      <c r="O17" s="679"/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2093881</v>
      </c>
      <c r="AA17" s="35">
        <v>2183884</v>
      </c>
      <c r="AB17" s="36">
        <v>2198974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13063</v>
      </c>
      <c r="H18" s="663"/>
      <c r="I18" s="663"/>
      <c r="J18" s="664"/>
      <c r="K18" s="665">
        <v>13063</v>
      </c>
      <c r="L18" s="663"/>
      <c r="M18" s="663"/>
      <c r="N18" s="664"/>
      <c r="O18" s="665">
        <v>13063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1395266</v>
      </c>
      <c r="AA18" s="35">
        <v>1493274</v>
      </c>
      <c r="AB18" s="36">
        <v>1514903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/>
      <c r="H19" s="77" t="s">
        <v>181</v>
      </c>
      <c r="I19" s="78" t="s">
        <v>184</v>
      </c>
      <c r="J19" s="79" t="s">
        <v>189</v>
      </c>
      <c r="K19" s="80"/>
      <c r="L19" s="77" t="s">
        <v>181</v>
      </c>
      <c r="M19" s="78" t="s">
        <v>184</v>
      </c>
      <c r="N19" s="79" t="s">
        <v>189</v>
      </c>
      <c r="O19" s="80"/>
      <c r="P19" s="77" t="s">
        <v>181</v>
      </c>
      <c r="Q19" s="78" t="s">
        <v>184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161618</v>
      </c>
      <c r="AA19" s="35">
        <v>149930</v>
      </c>
      <c r="AB19" s="36">
        <v>135777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183.5</v>
      </c>
      <c r="H20" s="85" t="s">
        <v>181</v>
      </c>
      <c r="I20" s="91">
        <f>G20/G10*100</f>
        <v>92.67676767676768</v>
      </c>
      <c r="J20" s="87" t="s">
        <v>173</v>
      </c>
      <c r="K20" s="88">
        <v>189.5</v>
      </c>
      <c r="L20" s="89" t="s">
        <v>181</v>
      </c>
      <c r="M20" s="91">
        <f>K20/K10*100</f>
        <v>95.70707070707071</v>
      </c>
      <c r="N20" s="87" t="s">
        <v>173</v>
      </c>
      <c r="O20" s="88">
        <v>202.7</v>
      </c>
      <c r="P20" s="89" t="s">
        <v>181</v>
      </c>
      <c r="Q20" s="91">
        <f>O20/O10*100</f>
        <v>102.37373737373736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79276</v>
      </c>
      <c r="AA20" s="35">
        <v>75570</v>
      </c>
      <c r="AB20" s="36">
        <v>101343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15.8</v>
      </c>
      <c r="H21" s="85" t="s">
        <v>181</v>
      </c>
      <c r="I21" s="91">
        <f>G21/G10*100</f>
        <v>7.97979797979798</v>
      </c>
      <c r="J21" s="87" t="s">
        <v>173</v>
      </c>
      <c r="K21" s="88">
        <v>15</v>
      </c>
      <c r="L21" s="89" t="s">
        <v>181</v>
      </c>
      <c r="M21" s="91">
        <f>K21/K10*100</f>
        <v>7.575757575757576</v>
      </c>
      <c r="N21" s="87" t="s">
        <v>173</v>
      </c>
      <c r="O21" s="88">
        <v>13.9</v>
      </c>
      <c r="P21" s="89" t="s">
        <v>181</v>
      </c>
      <c r="Q21" s="91">
        <f>O21/O10*100</f>
        <v>7.020202020202021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364705</v>
      </c>
      <c r="AA21" s="35">
        <v>352436</v>
      </c>
      <c r="AB21" s="36">
        <v>333533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110.4</v>
      </c>
      <c r="H22" s="85" t="s">
        <v>181</v>
      </c>
      <c r="I22" s="91">
        <f>G22/G10*100</f>
        <v>55.757575757575765</v>
      </c>
      <c r="J22" s="87" t="s">
        <v>173</v>
      </c>
      <c r="K22" s="88">
        <v>107.6</v>
      </c>
      <c r="L22" s="89" t="s">
        <v>181</v>
      </c>
      <c r="M22" s="91">
        <f>K22/K10*100</f>
        <v>54.34343434343434</v>
      </c>
      <c r="N22" s="87" t="s">
        <v>173</v>
      </c>
      <c r="O22" s="88">
        <v>112.9</v>
      </c>
      <c r="P22" s="89" t="s">
        <v>181</v>
      </c>
      <c r="Q22" s="91">
        <f>O22/O10*100</f>
        <v>57.02020202020203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112987</v>
      </c>
      <c r="AA22" s="35">
        <v>99171</v>
      </c>
      <c r="AB22" s="36">
        <v>84953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19.9</v>
      </c>
      <c r="H23" s="77" t="s">
        <v>181</v>
      </c>
      <c r="I23" s="96">
        <f>G23/G10*100</f>
        <v>10.05050505050505</v>
      </c>
      <c r="J23" s="97" t="s">
        <v>173</v>
      </c>
      <c r="K23" s="98">
        <v>19.4</v>
      </c>
      <c r="L23" s="99" t="s">
        <v>181</v>
      </c>
      <c r="M23" s="96">
        <f>K23/K10*100</f>
        <v>9.797979797979798</v>
      </c>
      <c r="N23" s="97" t="s">
        <v>173</v>
      </c>
      <c r="O23" s="98">
        <v>20.2</v>
      </c>
      <c r="P23" s="99" t="s">
        <v>181</v>
      </c>
      <c r="Q23" s="96">
        <f>O23/O10*100</f>
        <v>10.2020202020202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3271</v>
      </c>
      <c r="AA23" s="35">
        <v>1738</v>
      </c>
      <c r="AB23" s="36">
        <v>95697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696">
        <f>G30/(G10*365)*100</f>
        <v>80.49536460495365</v>
      </c>
      <c r="H24" s="696"/>
      <c r="I24" s="696"/>
      <c r="J24" s="697"/>
      <c r="K24" s="698">
        <f>K30/(K10*365)*100</f>
        <v>77.98394907983949</v>
      </c>
      <c r="L24" s="696"/>
      <c r="M24" s="696"/>
      <c r="N24" s="697"/>
      <c r="O24" s="698">
        <f>O30/(O10*365)*100</f>
        <v>69.69143489691434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78">
        <f>Z7-Z16</f>
        <v>-70015</v>
      </c>
      <c r="AA24" s="179">
        <f>AA7-AA16</f>
        <v>-21108</v>
      </c>
      <c r="AB24" s="180">
        <f>AB7-AB16</f>
        <v>-13812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624">
        <v>89.3</v>
      </c>
      <c r="H25" s="624"/>
      <c r="I25" s="624"/>
      <c r="J25" s="625"/>
      <c r="K25" s="626">
        <v>86.7</v>
      </c>
      <c r="L25" s="624"/>
      <c r="M25" s="624"/>
      <c r="N25" s="625"/>
      <c r="O25" s="626">
        <v>77.5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81">
        <f>Z6-Z15</f>
        <v>-73286</v>
      </c>
      <c r="AA25" s="182">
        <f>AA6-AA15</f>
        <v>-22846</v>
      </c>
      <c r="AB25" s="183">
        <f>AB6-AB15</f>
        <v>-21172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624">
        <v>89.3</v>
      </c>
      <c r="H26" s="624"/>
      <c r="I26" s="624"/>
      <c r="J26" s="625"/>
      <c r="K26" s="626">
        <v>86.7</v>
      </c>
      <c r="L26" s="624"/>
      <c r="M26" s="624"/>
      <c r="N26" s="625"/>
      <c r="O26" s="626">
        <v>77.5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233405</v>
      </c>
      <c r="AA26" s="27">
        <v>409395</v>
      </c>
      <c r="AB26" s="28">
        <v>265561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624">
        <v>50</v>
      </c>
      <c r="H27" s="624"/>
      <c r="I27" s="624"/>
      <c r="J27" s="625"/>
      <c r="K27" s="626">
        <v>51.5</v>
      </c>
      <c r="L27" s="624"/>
      <c r="M27" s="624"/>
      <c r="N27" s="625"/>
      <c r="O27" s="626">
        <v>50.4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15500</v>
      </c>
      <c r="AA27" s="35">
        <v>136400</v>
      </c>
      <c r="AB27" s="36">
        <v>16800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648">
        <v>158.9</v>
      </c>
      <c r="H28" s="648"/>
      <c r="I28" s="648"/>
      <c r="J28" s="649"/>
      <c r="K28" s="650">
        <v>154.4</v>
      </c>
      <c r="L28" s="648"/>
      <c r="M28" s="648"/>
      <c r="N28" s="649"/>
      <c r="O28" s="650">
        <v>138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>
        <v>217905</v>
      </c>
      <c r="AA28" s="35">
        <v>272495</v>
      </c>
      <c r="AB28" s="36">
        <v>248761</v>
      </c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648">
        <v>163.3</v>
      </c>
      <c r="H29" s="648"/>
      <c r="I29" s="648"/>
      <c r="J29" s="649"/>
      <c r="K29" s="650">
        <v>148.2</v>
      </c>
      <c r="L29" s="648"/>
      <c r="M29" s="648"/>
      <c r="N29" s="649"/>
      <c r="O29" s="650">
        <v>131.5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346559</v>
      </c>
      <c r="AA29" s="35">
        <v>572894</v>
      </c>
      <c r="AB29" s="36">
        <v>391426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656">
        <v>58174</v>
      </c>
      <c r="H30" s="656"/>
      <c r="I30" s="656"/>
      <c r="J30" s="657"/>
      <c r="K30" s="658">
        <v>56359</v>
      </c>
      <c r="L30" s="656"/>
      <c r="M30" s="656"/>
      <c r="N30" s="657"/>
      <c r="O30" s="658">
        <v>50366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20427</v>
      </c>
      <c r="AA30" s="35">
        <v>230148</v>
      </c>
      <c r="AB30" s="36">
        <v>32982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656">
        <v>39851</v>
      </c>
      <c r="H31" s="656"/>
      <c r="I31" s="656"/>
      <c r="J31" s="657"/>
      <c r="K31" s="658">
        <v>36307</v>
      </c>
      <c r="L31" s="656"/>
      <c r="M31" s="656"/>
      <c r="N31" s="657"/>
      <c r="O31" s="658">
        <v>32095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326132</v>
      </c>
      <c r="AA31" s="35">
        <v>342746</v>
      </c>
      <c r="AB31" s="36">
        <v>358444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624">
        <v>68.5</v>
      </c>
      <c r="H32" s="624"/>
      <c r="I32" s="624"/>
      <c r="J32" s="625"/>
      <c r="K32" s="626">
        <v>64.4</v>
      </c>
      <c r="L32" s="624"/>
      <c r="M32" s="624"/>
      <c r="N32" s="625"/>
      <c r="O32" s="626">
        <v>63.7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-113154</v>
      </c>
      <c r="AA32" s="179">
        <f>AA26-AA29</f>
        <v>-163499</v>
      </c>
      <c r="AB32" s="180">
        <f>AB26-AB29</f>
        <v>-125865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656">
        <v>8641</v>
      </c>
      <c r="H33" s="656"/>
      <c r="I33" s="656"/>
      <c r="J33" s="657"/>
      <c r="K33" s="658">
        <v>8221</v>
      </c>
      <c r="L33" s="656"/>
      <c r="M33" s="656"/>
      <c r="N33" s="657"/>
      <c r="O33" s="658">
        <v>7095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113154</v>
      </c>
      <c r="AA33" s="35">
        <v>163499</v>
      </c>
      <c r="AB33" s="36">
        <v>125865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624">
        <v>10.4</v>
      </c>
      <c r="H34" s="624"/>
      <c r="I34" s="624"/>
      <c r="J34" s="625"/>
      <c r="K34" s="626">
        <v>10.8</v>
      </c>
      <c r="L34" s="624"/>
      <c r="M34" s="624"/>
      <c r="N34" s="625"/>
      <c r="O34" s="626">
        <v>10.3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624">
        <v>7.1</v>
      </c>
      <c r="H35" s="624"/>
      <c r="I35" s="624"/>
      <c r="J35" s="625"/>
      <c r="K35" s="626">
        <v>7</v>
      </c>
      <c r="L35" s="624"/>
      <c r="M35" s="624"/>
      <c r="N35" s="625"/>
      <c r="O35" s="626">
        <v>6.5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754247</v>
      </c>
      <c r="AA35" s="123">
        <v>661226</v>
      </c>
      <c r="AB35" s="117">
        <v>630813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648">
        <v>282.9</v>
      </c>
      <c r="H36" s="648"/>
      <c r="I36" s="648"/>
      <c r="J36" s="649"/>
      <c r="K36" s="650">
        <v>300</v>
      </c>
      <c r="L36" s="648"/>
      <c r="M36" s="648"/>
      <c r="N36" s="649"/>
      <c r="O36" s="650">
        <v>293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669245</v>
      </c>
      <c r="AA36" s="27">
        <v>837585</v>
      </c>
      <c r="AB36" s="28">
        <v>1075336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624">
        <v>132.9</v>
      </c>
      <c r="H37" s="624"/>
      <c r="I37" s="624"/>
      <c r="J37" s="625"/>
      <c r="K37" s="626">
        <v>131</v>
      </c>
      <c r="L37" s="624"/>
      <c r="M37" s="624"/>
      <c r="N37" s="625"/>
      <c r="O37" s="626">
        <v>125.7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401249</v>
      </c>
      <c r="AA37" s="132">
        <v>474195</v>
      </c>
      <c r="AB37" s="133">
        <v>427848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648">
        <v>21907</v>
      </c>
      <c r="H38" s="648"/>
      <c r="I38" s="648"/>
      <c r="J38" s="649"/>
      <c r="K38" s="650">
        <v>22737</v>
      </c>
      <c r="L38" s="648"/>
      <c r="M38" s="648"/>
      <c r="N38" s="649"/>
      <c r="O38" s="650">
        <v>23600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2735266</v>
      </c>
      <c r="AA38" s="136">
        <v>3040900</v>
      </c>
      <c r="AB38" s="137">
        <v>2924447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648">
        <v>7918</v>
      </c>
      <c r="H39" s="648"/>
      <c r="I39" s="648"/>
      <c r="J39" s="649"/>
      <c r="K39" s="650">
        <v>7729</v>
      </c>
      <c r="L39" s="648"/>
      <c r="M39" s="648"/>
      <c r="N39" s="649"/>
      <c r="O39" s="650">
        <v>7839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7048320</v>
      </c>
      <c r="AA39" s="27">
        <v>7122339.7</v>
      </c>
      <c r="AB39" s="28">
        <v>7040363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648">
        <v>19763</v>
      </c>
      <c r="H40" s="648"/>
      <c r="I40" s="648"/>
      <c r="J40" s="649"/>
      <c r="K40" s="650">
        <v>21045</v>
      </c>
      <c r="L40" s="648"/>
      <c r="M40" s="648"/>
      <c r="N40" s="649"/>
      <c r="O40" s="650">
        <v>21592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4934759</v>
      </c>
      <c r="AA40" s="35">
        <v>4938043</v>
      </c>
      <c r="AB40" s="36">
        <v>4965818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648">
        <v>1431</v>
      </c>
      <c r="H41" s="648"/>
      <c r="I41" s="648"/>
      <c r="J41" s="649"/>
      <c r="K41" s="650">
        <v>1362</v>
      </c>
      <c r="L41" s="648"/>
      <c r="M41" s="648"/>
      <c r="N41" s="649"/>
      <c r="O41" s="650">
        <v>1288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2372891</v>
      </c>
      <c r="AA41" s="35">
        <v>2302148.2</v>
      </c>
      <c r="AB41" s="36">
        <v>2411887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648">
        <v>25115</v>
      </c>
      <c r="H42" s="648"/>
      <c r="I42" s="648"/>
      <c r="J42" s="649"/>
      <c r="K42" s="650">
        <v>27389</v>
      </c>
      <c r="L42" s="648"/>
      <c r="M42" s="648"/>
      <c r="N42" s="649"/>
      <c r="O42" s="650">
        <v>31872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919285</v>
      </c>
      <c r="AA42" s="149">
        <v>920492.7</v>
      </c>
      <c r="AB42" s="150">
        <v>832681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648">
        <v>14234</v>
      </c>
      <c r="H43" s="648"/>
      <c r="I43" s="648"/>
      <c r="J43" s="649"/>
      <c r="K43" s="650">
        <v>16115</v>
      </c>
      <c r="L43" s="648"/>
      <c r="M43" s="648"/>
      <c r="N43" s="649"/>
      <c r="O43" s="650">
        <v>18371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584814</v>
      </c>
      <c r="AA43" s="35">
        <v>608164.6</v>
      </c>
      <c r="AB43" s="36">
        <v>559268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648">
        <v>1077</v>
      </c>
      <c r="H44" s="648"/>
      <c r="I44" s="648"/>
      <c r="J44" s="649"/>
      <c r="K44" s="650">
        <v>1040</v>
      </c>
      <c r="L44" s="648"/>
      <c r="M44" s="648"/>
      <c r="N44" s="649"/>
      <c r="O44" s="650">
        <v>1025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325396</v>
      </c>
      <c r="AA44" s="154">
        <v>301688.1</v>
      </c>
      <c r="AB44" s="155">
        <v>262288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653">
        <v>-748</v>
      </c>
      <c r="H45" s="653"/>
      <c r="I45" s="653"/>
      <c r="J45" s="655"/>
      <c r="K45" s="652">
        <v>-247</v>
      </c>
      <c r="L45" s="653"/>
      <c r="M45" s="653"/>
      <c r="N45" s="655"/>
      <c r="O45" s="652">
        <v>-257</v>
      </c>
      <c r="P45" s="653"/>
      <c r="Q45" s="653"/>
      <c r="R45" s="654"/>
      <c r="S45" s="71"/>
      <c r="T45" s="630"/>
      <c r="U45" s="630"/>
      <c r="V45" s="628"/>
      <c r="W45" s="41" t="s">
        <v>132</v>
      </c>
      <c r="X45" s="42"/>
      <c r="Y45" s="43"/>
      <c r="Z45" s="34">
        <v>9075</v>
      </c>
      <c r="AA45" s="35">
        <v>10640.1</v>
      </c>
      <c r="AB45" s="36">
        <v>11125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648"/>
      <c r="H46" s="648"/>
      <c r="I46" s="648"/>
      <c r="J46" s="649"/>
      <c r="K46" s="650"/>
      <c r="L46" s="648"/>
      <c r="M46" s="648"/>
      <c r="N46" s="649"/>
      <c r="O46" s="650"/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11189</v>
      </c>
      <c r="AA46" s="149">
        <v>16122.8</v>
      </c>
      <c r="AB46" s="150">
        <v>12857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648">
        <v>26681</v>
      </c>
      <c r="H47" s="648"/>
      <c r="I47" s="648"/>
      <c r="J47" s="649"/>
      <c r="K47" s="650">
        <v>26737</v>
      </c>
      <c r="L47" s="648"/>
      <c r="M47" s="648"/>
      <c r="N47" s="649"/>
      <c r="O47" s="650">
        <v>24169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7978794</v>
      </c>
      <c r="AA47" s="136">
        <f>AA39+AA42+AA46</f>
        <v>8058955.2</v>
      </c>
      <c r="AB47" s="137">
        <f>AB39+AB42+AB46</f>
        <v>7885901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00">
        <v>32140</v>
      </c>
      <c r="H48" s="700"/>
      <c r="I48" s="700"/>
      <c r="J48" s="701"/>
      <c r="K48" s="702">
        <v>33614</v>
      </c>
      <c r="L48" s="700"/>
      <c r="M48" s="700"/>
      <c r="N48" s="701"/>
      <c r="O48" s="702">
        <v>33846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11334</v>
      </c>
      <c r="AA48" s="27">
        <v>6145.9</v>
      </c>
      <c r="AB48" s="28">
        <v>4582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635">
        <v>56.8</v>
      </c>
      <c r="H49" s="635"/>
      <c r="I49" s="635"/>
      <c r="J49" s="636"/>
      <c r="K49" s="637">
        <v>58.9</v>
      </c>
      <c r="L49" s="635"/>
      <c r="M49" s="635"/>
      <c r="N49" s="636"/>
      <c r="O49" s="637">
        <v>59.8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165038</v>
      </c>
      <c r="AA49" s="35">
        <v>259267.1</v>
      </c>
      <c r="AB49" s="36">
        <v>201868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624">
        <v>4.6</v>
      </c>
      <c r="H50" s="624"/>
      <c r="I50" s="624"/>
      <c r="J50" s="625"/>
      <c r="K50" s="626">
        <v>3.9</v>
      </c>
      <c r="L50" s="624"/>
      <c r="M50" s="624"/>
      <c r="N50" s="625"/>
      <c r="O50" s="626">
        <v>3.4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>
        <v>0</v>
      </c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624">
        <v>3.2</v>
      </c>
      <c r="H51" s="624"/>
      <c r="I51" s="624"/>
      <c r="J51" s="625"/>
      <c r="K51" s="626">
        <v>3</v>
      </c>
      <c r="L51" s="624"/>
      <c r="M51" s="624"/>
      <c r="N51" s="625"/>
      <c r="O51" s="626">
        <v>4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151950</v>
      </c>
      <c r="AA51" s="132">
        <v>245940</v>
      </c>
      <c r="AB51" s="133">
        <v>93629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624">
        <v>6.6</v>
      </c>
      <c r="H52" s="624"/>
      <c r="I52" s="624"/>
      <c r="J52" s="625"/>
      <c r="K52" s="626">
        <v>5.9</v>
      </c>
      <c r="L52" s="624"/>
      <c r="M52" s="624"/>
      <c r="N52" s="625"/>
      <c r="O52" s="626">
        <v>5.4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176372</v>
      </c>
      <c r="AA52" s="169">
        <f>AA48+AA49</f>
        <v>265413</v>
      </c>
      <c r="AB52" s="170">
        <f>AB48+AB49</f>
        <v>206450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639">
        <v>28.9</v>
      </c>
      <c r="H53" s="639"/>
      <c r="I53" s="639"/>
      <c r="J53" s="640"/>
      <c r="K53" s="641">
        <v>28.3</v>
      </c>
      <c r="L53" s="639"/>
      <c r="M53" s="639"/>
      <c r="N53" s="640"/>
      <c r="O53" s="641">
        <v>27.5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7966870</v>
      </c>
      <c r="AA53" s="27">
        <v>8033018.9</v>
      </c>
      <c r="AB53" s="28">
        <v>7944194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635">
        <v>67.4</v>
      </c>
      <c r="H54" s="635"/>
      <c r="I54" s="635"/>
      <c r="J54" s="636"/>
      <c r="K54" s="637">
        <v>68.6</v>
      </c>
      <c r="L54" s="635"/>
      <c r="M54" s="635"/>
      <c r="N54" s="636"/>
      <c r="O54" s="637">
        <v>73.6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5539538</v>
      </c>
      <c r="AA54" s="35">
        <v>5812032.9</v>
      </c>
      <c r="AB54" s="36">
        <v>6064852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624">
        <v>557</v>
      </c>
      <c r="H55" s="624"/>
      <c r="I55" s="624"/>
      <c r="J55" s="625"/>
      <c r="K55" s="626">
        <v>309.9</v>
      </c>
      <c r="L55" s="624"/>
      <c r="M55" s="624"/>
      <c r="N55" s="625"/>
      <c r="O55" s="626">
        <v>412.5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2427332</v>
      </c>
      <c r="AA55" s="35">
        <v>2220986</v>
      </c>
      <c r="AB55" s="36">
        <v>1879342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624">
        <v>97.2</v>
      </c>
      <c r="H56" s="624"/>
      <c r="I56" s="624"/>
      <c r="J56" s="625"/>
      <c r="K56" s="626">
        <v>99.2</v>
      </c>
      <c r="L56" s="624"/>
      <c r="M56" s="624"/>
      <c r="N56" s="625"/>
      <c r="O56" s="626">
        <v>99.5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>
        <v>0</v>
      </c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624">
        <v>83</v>
      </c>
      <c r="H57" s="624"/>
      <c r="I57" s="624"/>
      <c r="J57" s="625"/>
      <c r="K57" s="626">
        <v>79.5</v>
      </c>
      <c r="L57" s="624"/>
      <c r="M57" s="624"/>
      <c r="N57" s="625"/>
      <c r="O57" s="626">
        <v>71.4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178">
        <v>-164448</v>
      </c>
      <c r="AA57" s="179">
        <v>-239476.7</v>
      </c>
      <c r="AB57" s="180">
        <v>-264742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624">
        <v>40.1</v>
      </c>
      <c r="H58" s="624"/>
      <c r="I58" s="624"/>
      <c r="J58" s="625"/>
      <c r="K58" s="626">
        <v>41.6</v>
      </c>
      <c r="L58" s="624"/>
      <c r="M58" s="624"/>
      <c r="N58" s="625"/>
      <c r="O58" s="626">
        <v>48.8</v>
      </c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532812</v>
      </c>
      <c r="AA58" s="35">
        <v>480629.5</v>
      </c>
      <c r="AB58" s="36">
        <v>480595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624"/>
      <c r="H59" s="624"/>
      <c r="I59" s="624"/>
      <c r="J59" s="625"/>
      <c r="K59" s="626"/>
      <c r="L59" s="624"/>
      <c r="M59" s="624"/>
      <c r="N59" s="625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/>
      <c r="AA59" s="35">
        <v>2546</v>
      </c>
      <c r="AB59" s="36">
        <v>20503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624">
        <v>18.8</v>
      </c>
      <c r="H60" s="624"/>
      <c r="I60" s="624"/>
      <c r="J60" s="625"/>
      <c r="K60" s="626">
        <v>19.7</v>
      </c>
      <c r="L60" s="624"/>
      <c r="M60" s="624"/>
      <c r="N60" s="625"/>
      <c r="O60" s="626">
        <v>22.8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81">
        <v>-697260</v>
      </c>
      <c r="AA60" s="182">
        <v>-722652</v>
      </c>
      <c r="AB60" s="183">
        <v>-765840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624">
        <v>6.5</v>
      </c>
      <c r="H61" s="624"/>
      <c r="I61" s="624"/>
      <c r="J61" s="625"/>
      <c r="K61" s="626">
        <v>5.7</v>
      </c>
      <c r="L61" s="624"/>
      <c r="M61" s="624"/>
      <c r="N61" s="625"/>
      <c r="O61" s="626">
        <v>5.4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7802422</v>
      </c>
      <c r="AA61" s="169">
        <f>AA53+AA57</f>
        <v>7793542.2</v>
      </c>
      <c r="AB61" s="170">
        <f>AB53+AB57</f>
        <v>7679452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624">
        <v>25.3</v>
      </c>
      <c r="H62" s="624"/>
      <c r="I62" s="624"/>
      <c r="J62" s="625"/>
      <c r="K62" s="626">
        <v>25.4</v>
      </c>
      <c r="L62" s="624"/>
      <c r="M62" s="624"/>
      <c r="N62" s="625"/>
      <c r="O62" s="626">
        <v>28.2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624">
        <v>80.3</v>
      </c>
      <c r="H63" s="624"/>
      <c r="I63" s="624"/>
      <c r="J63" s="625"/>
      <c r="K63" s="626">
        <v>86</v>
      </c>
      <c r="L63" s="624"/>
      <c r="M63" s="624"/>
      <c r="N63" s="625"/>
      <c r="O63" s="626">
        <v>96.5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639">
        <v>9.3</v>
      </c>
      <c r="H64" s="639"/>
      <c r="I64" s="639"/>
      <c r="J64" s="640"/>
      <c r="K64" s="641">
        <v>8.6</v>
      </c>
      <c r="L64" s="639"/>
      <c r="M64" s="639"/>
      <c r="N64" s="640"/>
      <c r="O64" s="641">
        <v>8.6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5" sqref="A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690" t="s">
        <v>227</v>
      </c>
      <c r="B4" s="690"/>
      <c r="C4" s="690"/>
      <c r="D4" s="690"/>
      <c r="E4" s="690"/>
      <c r="F4" s="690"/>
      <c r="G4" s="6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691">
        <v>19419</v>
      </c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2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691">
        <v>23468</v>
      </c>
      <c r="H6" s="691"/>
      <c r="I6" s="691"/>
      <c r="J6" s="691"/>
      <c r="K6" s="691"/>
      <c r="L6" s="693" t="s">
        <v>10</v>
      </c>
      <c r="M6" s="693"/>
      <c r="N6" s="693"/>
      <c r="O6" s="184">
        <v>7</v>
      </c>
      <c r="P6" s="18" t="s">
        <v>172</v>
      </c>
      <c r="Q6" s="19">
        <v>1</v>
      </c>
      <c r="R6" s="20" t="s">
        <v>173</v>
      </c>
      <c r="S6" s="21"/>
      <c r="T6" s="629" t="s">
        <v>13</v>
      </c>
      <c r="U6" s="22" t="s">
        <v>14</v>
      </c>
      <c r="V6" s="23"/>
      <c r="W6" s="23"/>
      <c r="X6" s="24"/>
      <c r="Y6" s="25" t="s">
        <v>174</v>
      </c>
      <c r="Z6" s="26">
        <f>Z7+Z14</f>
        <v>34620399</v>
      </c>
      <c r="AA6" s="27">
        <f>AA7+AA14</f>
        <v>34686243</v>
      </c>
      <c r="AB6" s="28">
        <f>AB7+AB14</f>
        <v>36179512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694" t="s">
        <v>225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30"/>
      <c r="T7" s="630"/>
      <c r="U7" s="681" t="s">
        <v>176</v>
      </c>
      <c r="V7" s="31" t="s">
        <v>19</v>
      </c>
      <c r="W7" s="31"/>
      <c r="X7" s="32"/>
      <c r="Y7" s="33" t="s">
        <v>177</v>
      </c>
      <c r="Z7" s="34">
        <f>Z8+Z12</f>
        <v>34620399</v>
      </c>
      <c r="AA7" s="35">
        <f>AA8+AA12</f>
        <v>34686243</v>
      </c>
      <c r="AB7" s="36">
        <f>AB8+AB12</f>
        <v>35488591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07" t="s">
        <v>226</v>
      </c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9"/>
      <c r="S8" s="40"/>
      <c r="T8" s="630"/>
      <c r="U8" s="671"/>
      <c r="V8" s="646" t="s">
        <v>176</v>
      </c>
      <c r="W8" s="41" t="s">
        <v>23</v>
      </c>
      <c r="X8" s="42"/>
      <c r="Y8" s="43" t="s">
        <v>179</v>
      </c>
      <c r="Z8" s="34">
        <v>31563309</v>
      </c>
      <c r="AA8" s="35">
        <v>31429632</v>
      </c>
      <c r="AB8" s="36">
        <v>32298365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685" t="s">
        <v>6</v>
      </c>
      <c r="H9" s="686"/>
      <c r="I9" s="686"/>
      <c r="J9" s="687"/>
      <c r="K9" s="688" t="s">
        <v>7</v>
      </c>
      <c r="L9" s="686"/>
      <c r="M9" s="686"/>
      <c r="N9" s="687"/>
      <c r="O9" s="688" t="s">
        <v>8</v>
      </c>
      <c r="P9" s="686"/>
      <c r="Q9" s="686"/>
      <c r="R9" s="689"/>
      <c r="S9" s="30"/>
      <c r="T9" s="630"/>
      <c r="U9" s="671"/>
      <c r="V9" s="662"/>
      <c r="W9" s="670" t="s">
        <v>180</v>
      </c>
      <c r="X9" s="42" t="s">
        <v>26</v>
      </c>
      <c r="Y9" s="43"/>
      <c r="Z9" s="34">
        <v>16124468</v>
      </c>
      <c r="AA9" s="35">
        <v>16335169</v>
      </c>
      <c r="AB9" s="36">
        <v>16840969</v>
      </c>
    </row>
    <row r="10" spans="1:28" s="44" customFormat="1" ht="29.25" customHeight="1">
      <c r="A10" s="629" t="s">
        <v>27</v>
      </c>
      <c r="B10" s="45" t="s">
        <v>28</v>
      </c>
      <c r="C10" s="46"/>
      <c r="D10" s="46"/>
      <c r="E10" s="46"/>
      <c r="F10" s="47" t="s">
        <v>29</v>
      </c>
      <c r="G10" s="48">
        <v>989</v>
      </c>
      <c r="H10" s="49" t="s">
        <v>181</v>
      </c>
      <c r="I10" s="50">
        <v>849</v>
      </c>
      <c r="J10" s="51" t="s">
        <v>173</v>
      </c>
      <c r="K10" s="48">
        <v>989</v>
      </c>
      <c r="L10" s="49" t="s">
        <v>181</v>
      </c>
      <c r="M10" s="50">
        <v>829</v>
      </c>
      <c r="N10" s="51" t="s">
        <v>173</v>
      </c>
      <c r="O10" s="52">
        <v>989</v>
      </c>
      <c r="P10" s="53" t="s">
        <v>181</v>
      </c>
      <c r="Q10" s="48">
        <v>819</v>
      </c>
      <c r="R10" s="25" t="s">
        <v>173</v>
      </c>
      <c r="S10" s="54"/>
      <c r="T10" s="630"/>
      <c r="U10" s="671"/>
      <c r="V10" s="662"/>
      <c r="W10" s="670"/>
      <c r="X10" s="42" t="s">
        <v>31</v>
      </c>
      <c r="Y10" s="43"/>
      <c r="Z10" s="34">
        <v>13977660</v>
      </c>
      <c r="AA10" s="35">
        <v>13644458</v>
      </c>
      <c r="AB10" s="36">
        <v>13922899</v>
      </c>
    </row>
    <row r="11" spans="1:28" s="44" customFormat="1" ht="29.25" customHeight="1">
      <c r="A11" s="630"/>
      <c r="B11" s="671" t="s">
        <v>32</v>
      </c>
      <c r="C11" s="55" t="s">
        <v>33</v>
      </c>
      <c r="D11" s="56"/>
      <c r="E11" s="56"/>
      <c r="F11" s="57"/>
      <c r="G11" s="58">
        <v>763</v>
      </c>
      <c r="H11" s="59" t="s">
        <v>181</v>
      </c>
      <c r="I11" s="60">
        <v>763</v>
      </c>
      <c r="J11" s="61" t="s">
        <v>173</v>
      </c>
      <c r="K11" s="58">
        <v>763</v>
      </c>
      <c r="L11" s="59" t="s">
        <v>181</v>
      </c>
      <c r="M11" s="60">
        <v>763</v>
      </c>
      <c r="N11" s="61" t="s">
        <v>173</v>
      </c>
      <c r="O11" s="62">
        <v>763</v>
      </c>
      <c r="P11" s="63" t="s">
        <v>181</v>
      </c>
      <c r="Q11" s="58">
        <v>763</v>
      </c>
      <c r="R11" s="33" t="s">
        <v>173</v>
      </c>
      <c r="S11" s="54"/>
      <c r="T11" s="630"/>
      <c r="U11" s="671"/>
      <c r="V11" s="662"/>
      <c r="W11" s="670"/>
      <c r="X11" s="42" t="s">
        <v>34</v>
      </c>
      <c r="Y11" s="43"/>
      <c r="Z11" s="34">
        <v>539332</v>
      </c>
      <c r="AA11" s="35">
        <v>539339</v>
      </c>
      <c r="AB11" s="36">
        <v>590682</v>
      </c>
    </row>
    <row r="12" spans="1:28" s="44" customFormat="1" ht="29.25" customHeight="1">
      <c r="A12" s="630"/>
      <c r="B12" s="671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58"/>
      <c r="L12" s="59" t="s">
        <v>181</v>
      </c>
      <c r="M12" s="60"/>
      <c r="N12" s="64" t="s">
        <v>173</v>
      </c>
      <c r="O12" s="62"/>
      <c r="P12" s="63" t="s">
        <v>181</v>
      </c>
      <c r="Q12" s="58"/>
      <c r="R12" s="33" t="s">
        <v>173</v>
      </c>
      <c r="S12" s="54"/>
      <c r="T12" s="630"/>
      <c r="U12" s="671"/>
      <c r="V12" s="662"/>
      <c r="W12" s="41" t="s">
        <v>36</v>
      </c>
      <c r="X12" s="42"/>
      <c r="Y12" s="43" t="s">
        <v>182</v>
      </c>
      <c r="Z12" s="34">
        <v>3057090</v>
      </c>
      <c r="AA12" s="35">
        <v>3256611</v>
      </c>
      <c r="AB12" s="36">
        <v>3190226</v>
      </c>
    </row>
    <row r="13" spans="1:28" s="44" customFormat="1" ht="29.25" customHeight="1">
      <c r="A13" s="630"/>
      <c r="B13" s="671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58"/>
      <c r="L13" s="59" t="s">
        <v>181</v>
      </c>
      <c r="M13" s="60"/>
      <c r="N13" s="64" t="s">
        <v>173</v>
      </c>
      <c r="O13" s="62"/>
      <c r="P13" s="63" t="s">
        <v>181</v>
      </c>
      <c r="Q13" s="58"/>
      <c r="R13" s="33" t="s">
        <v>173</v>
      </c>
      <c r="S13" s="54"/>
      <c r="T13" s="630"/>
      <c r="U13" s="671"/>
      <c r="V13" s="647"/>
      <c r="W13" s="66" t="s">
        <v>180</v>
      </c>
      <c r="X13" s="42" t="s">
        <v>39</v>
      </c>
      <c r="Y13" s="43"/>
      <c r="Z13" s="34">
        <v>1532906</v>
      </c>
      <c r="AA13" s="35">
        <v>1571407</v>
      </c>
      <c r="AB13" s="36">
        <v>1549945</v>
      </c>
    </row>
    <row r="14" spans="1:28" s="44" customFormat="1" ht="29.25" customHeight="1">
      <c r="A14" s="630"/>
      <c r="B14" s="671"/>
      <c r="C14" s="42" t="s">
        <v>40</v>
      </c>
      <c r="D14" s="65"/>
      <c r="E14" s="65"/>
      <c r="F14" s="47"/>
      <c r="G14" s="58">
        <v>220</v>
      </c>
      <c r="H14" s="59" t="s">
        <v>181</v>
      </c>
      <c r="I14" s="60">
        <v>80</v>
      </c>
      <c r="J14" s="64" t="s">
        <v>173</v>
      </c>
      <c r="K14" s="58">
        <v>220</v>
      </c>
      <c r="L14" s="59" t="s">
        <v>181</v>
      </c>
      <c r="M14" s="60">
        <v>60</v>
      </c>
      <c r="N14" s="64" t="s">
        <v>173</v>
      </c>
      <c r="O14" s="62">
        <v>220</v>
      </c>
      <c r="P14" s="63" t="s">
        <v>181</v>
      </c>
      <c r="Q14" s="58">
        <v>50</v>
      </c>
      <c r="R14" s="33" t="s">
        <v>173</v>
      </c>
      <c r="S14" s="54"/>
      <c r="T14" s="630"/>
      <c r="U14" s="672"/>
      <c r="V14" s="41" t="s">
        <v>41</v>
      </c>
      <c r="W14" s="66"/>
      <c r="X14" s="67"/>
      <c r="Y14" s="43" t="s">
        <v>183</v>
      </c>
      <c r="Z14" s="34"/>
      <c r="AA14" s="35"/>
      <c r="AB14" s="36">
        <v>690921</v>
      </c>
    </row>
    <row r="15" spans="1:28" s="44" customFormat="1" ht="29.25" customHeight="1">
      <c r="A15" s="630"/>
      <c r="B15" s="672"/>
      <c r="C15" s="42" t="s">
        <v>43</v>
      </c>
      <c r="D15" s="65"/>
      <c r="E15" s="65"/>
      <c r="F15" s="47"/>
      <c r="G15" s="68">
        <v>6</v>
      </c>
      <c r="H15" s="59" t="s">
        <v>181</v>
      </c>
      <c r="I15" s="60">
        <v>6</v>
      </c>
      <c r="J15" s="61" t="s">
        <v>173</v>
      </c>
      <c r="K15" s="68">
        <v>6</v>
      </c>
      <c r="L15" s="59" t="s">
        <v>181</v>
      </c>
      <c r="M15" s="60">
        <v>6</v>
      </c>
      <c r="N15" s="61" t="s">
        <v>173</v>
      </c>
      <c r="O15" s="62">
        <v>6</v>
      </c>
      <c r="P15" s="63" t="s">
        <v>181</v>
      </c>
      <c r="Q15" s="58">
        <v>6</v>
      </c>
      <c r="R15" s="33" t="s">
        <v>173</v>
      </c>
      <c r="S15" s="54"/>
      <c r="T15" s="630"/>
      <c r="U15" s="69" t="s">
        <v>44</v>
      </c>
      <c r="V15" s="41"/>
      <c r="W15" s="41"/>
      <c r="X15" s="42"/>
      <c r="Y15" s="43" t="s">
        <v>185</v>
      </c>
      <c r="Z15" s="34">
        <f>Z16+Z23</f>
        <v>34214642</v>
      </c>
      <c r="AA15" s="35">
        <f>AA16+AA23</f>
        <v>34548431</v>
      </c>
      <c r="AB15" s="36">
        <f>AB16+AB23</f>
        <v>35326183</v>
      </c>
    </row>
    <row r="16" spans="1:28" s="44" customFormat="1" ht="29.25" customHeight="1">
      <c r="A16" s="630"/>
      <c r="B16" s="70" t="s">
        <v>46</v>
      </c>
      <c r="C16" s="65"/>
      <c r="D16" s="65"/>
      <c r="E16" s="65"/>
      <c r="F16" s="47" t="s">
        <v>29</v>
      </c>
      <c r="G16" s="673">
        <v>265</v>
      </c>
      <c r="H16" s="673"/>
      <c r="I16" s="673"/>
      <c r="J16" s="674"/>
      <c r="K16" s="673">
        <v>265</v>
      </c>
      <c r="L16" s="673"/>
      <c r="M16" s="673"/>
      <c r="N16" s="674"/>
      <c r="O16" s="675">
        <v>265</v>
      </c>
      <c r="P16" s="673"/>
      <c r="Q16" s="673"/>
      <c r="R16" s="676"/>
      <c r="S16" s="71"/>
      <c r="T16" s="630"/>
      <c r="U16" s="621" t="s">
        <v>176</v>
      </c>
      <c r="V16" s="41" t="s">
        <v>47</v>
      </c>
      <c r="W16" s="41"/>
      <c r="X16" s="42"/>
      <c r="Y16" s="43" t="s">
        <v>186</v>
      </c>
      <c r="Z16" s="34">
        <f>Z17+Z21</f>
        <v>33981620</v>
      </c>
      <c r="AA16" s="35">
        <f>AA17+AA21</f>
        <v>34288775</v>
      </c>
      <c r="AB16" s="36">
        <f>AB17+AB21</f>
        <v>34840052</v>
      </c>
    </row>
    <row r="17" spans="1:28" s="44" customFormat="1" ht="29.25" customHeight="1">
      <c r="A17" s="630"/>
      <c r="B17" s="70" t="s">
        <v>49</v>
      </c>
      <c r="C17" s="65"/>
      <c r="D17" s="65"/>
      <c r="E17" s="65"/>
      <c r="F17" s="47" t="s">
        <v>29</v>
      </c>
      <c r="G17" s="677">
        <v>30</v>
      </c>
      <c r="H17" s="677"/>
      <c r="I17" s="677"/>
      <c r="J17" s="678"/>
      <c r="K17" s="677">
        <v>30</v>
      </c>
      <c r="L17" s="677"/>
      <c r="M17" s="677"/>
      <c r="N17" s="678"/>
      <c r="O17" s="679">
        <v>30</v>
      </c>
      <c r="P17" s="677"/>
      <c r="Q17" s="677"/>
      <c r="R17" s="680"/>
      <c r="S17" s="71"/>
      <c r="T17" s="630"/>
      <c r="U17" s="622"/>
      <c r="V17" s="646" t="s">
        <v>176</v>
      </c>
      <c r="W17" s="41" t="s">
        <v>50</v>
      </c>
      <c r="X17" s="42"/>
      <c r="Y17" s="43" t="s">
        <v>187</v>
      </c>
      <c r="Z17" s="34">
        <v>30955427</v>
      </c>
      <c r="AA17" s="35">
        <v>31219648</v>
      </c>
      <c r="AB17" s="36">
        <v>31602391</v>
      </c>
    </row>
    <row r="18" spans="1:28" s="44" customFormat="1" ht="29.25" customHeight="1">
      <c r="A18" s="630"/>
      <c r="B18" s="70" t="s">
        <v>52</v>
      </c>
      <c r="C18" s="65"/>
      <c r="D18" s="65"/>
      <c r="E18" s="65"/>
      <c r="F18" s="47" t="s">
        <v>188</v>
      </c>
      <c r="G18" s="663">
        <v>133533</v>
      </c>
      <c r="H18" s="663"/>
      <c r="I18" s="663"/>
      <c r="J18" s="664"/>
      <c r="K18" s="665">
        <v>119913</v>
      </c>
      <c r="L18" s="663"/>
      <c r="M18" s="663"/>
      <c r="N18" s="664"/>
      <c r="O18" s="665">
        <v>112148</v>
      </c>
      <c r="P18" s="663"/>
      <c r="Q18" s="663"/>
      <c r="R18" s="666"/>
      <c r="S18" s="72"/>
      <c r="T18" s="630"/>
      <c r="U18" s="622"/>
      <c r="V18" s="662"/>
      <c r="W18" s="646" t="s">
        <v>180</v>
      </c>
      <c r="X18" s="42" t="s">
        <v>54</v>
      </c>
      <c r="Y18" s="43"/>
      <c r="Z18" s="34">
        <v>12272386</v>
      </c>
      <c r="AA18" s="35">
        <v>12324448</v>
      </c>
      <c r="AB18" s="36">
        <v>12858921</v>
      </c>
    </row>
    <row r="19" spans="1:28" s="44" customFormat="1" ht="29.25" customHeight="1" thickBot="1">
      <c r="A19" s="631"/>
      <c r="B19" s="73" t="s">
        <v>55</v>
      </c>
      <c r="C19" s="74"/>
      <c r="D19" s="74"/>
      <c r="E19" s="74"/>
      <c r="F19" s="75" t="s">
        <v>56</v>
      </c>
      <c r="G19" s="76">
        <v>190</v>
      </c>
      <c r="H19" s="77" t="s">
        <v>181</v>
      </c>
      <c r="I19" s="78">
        <v>180</v>
      </c>
      <c r="J19" s="79" t="s">
        <v>189</v>
      </c>
      <c r="K19" s="80">
        <v>193</v>
      </c>
      <c r="L19" s="77" t="s">
        <v>181</v>
      </c>
      <c r="M19" s="78">
        <v>180</v>
      </c>
      <c r="N19" s="79" t="s">
        <v>189</v>
      </c>
      <c r="O19" s="80">
        <v>192</v>
      </c>
      <c r="P19" s="77" t="s">
        <v>181</v>
      </c>
      <c r="Q19" s="78">
        <v>180</v>
      </c>
      <c r="R19" s="81" t="s">
        <v>189</v>
      </c>
      <c r="S19" s="82"/>
      <c r="T19" s="630"/>
      <c r="U19" s="622"/>
      <c r="V19" s="662"/>
      <c r="W19" s="662"/>
      <c r="X19" s="42" t="s">
        <v>59</v>
      </c>
      <c r="Y19" s="43"/>
      <c r="Z19" s="34">
        <v>10571305</v>
      </c>
      <c r="AA19" s="35">
        <v>10233673</v>
      </c>
      <c r="AB19" s="36">
        <v>10765064</v>
      </c>
    </row>
    <row r="20" spans="1:28" s="44" customFormat="1" ht="29.25" customHeight="1">
      <c r="A20" s="629" t="s">
        <v>60</v>
      </c>
      <c r="B20" s="83" t="s">
        <v>61</v>
      </c>
      <c r="C20" s="46"/>
      <c r="D20" s="46"/>
      <c r="E20" s="46"/>
      <c r="F20" s="84" t="s">
        <v>62</v>
      </c>
      <c r="G20" s="60">
        <v>1834</v>
      </c>
      <c r="H20" s="85" t="s">
        <v>181</v>
      </c>
      <c r="I20" s="91">
        <f>G20/G10*100</f>
        <v>185.43983822042466</v>
      </c>
      <c r="J20" s="87" t="s">
        <v>173</v>
      </c>
      <c r="K20" s="88">
        <v>1905</v>
      </c>
      <c r="L20" s="89" t="s">
        <v>181</v>
      </c>
      <c r="M20" s="91">
        <f>K20/K10*100</f>
        <v>192.61880687563195</v>
      </c>
      <c r="N20" s="87" t="s">
        <v>173</v>
      </c>
      <c r="O20" s="88">
        <v>1945</v>
      </c>
      <c r="P20" s="89" t="s">
        <v>181</v>
      </c>
      <c r="Q20" s="91">
        <f>O20/O10*100</f>
        <v>196.66329625884734</v>
      </c>
      <c r="R20" s="90" t="s">
        <v>173</v>
      </c>
      <c r="S20" s="71"/>
      <c r="T20" s="630"/>
      <c r="U20" s="622"/>
      <c r="V20" s="662"/>
      <c r="W20" s="647"/>
      <c r="X20" s="42" t="s">
        <v>63</v>
      </c>
      <c r="Y20" s="43"/>
      <c r="Z20" s="34">
        <v>2900979</v>
      </c>
      <c r="AA20" s="35">
        <v>2798819</v>
      </c>
      <c r="AB20" s="36">
        <v>2891543</v>
      </c>
    </row>
    <row r="21" spans="1:28" s="44" customFormat="1" ht="29.25" customHeight="1">
      <c r="A21" s="630"/>
      <c r="B21" s="667" t="s">
        <v>190</v>
      </c>
      <c r="C21" s="42" t="s">
        <v>65</v>
      </c>
      <c r="D21" s="65"/>
      <c r="E21" s="65"/>
      <c r="F21" s="47"/>
      <c r="G21" s="60">
        <v>261</v>
      </c>
      <c r="H21" s="85" t="s">
        <v>181</v>
      </c>
      <c r="I21" s="91">
        <f>G21/G10*100</f>
        <v>26.39029322548028</v>
      </c>
      <c r="J21" s="87" t="s">
        <v>173</v>
      </c>
      <c r="K21" s="88">
        <v>259</v>
      </c>
      <c r="L21" s="89" t="s">
        <v>181</v>
      </c>
      <c r="M21" s="91">
        <f>K21/K10*100</f>
        <v>26.188068756319517</v>
      </c>
      <c r="N21" s="87" t="s">
        <v>173</v>
      </c>
      <c r="O21" s="88">
        <v>258</v>
      </c>
      <c r="P21" s="89" t="s">
        <v>181</v>
      </c>
      <c r="Q21" s="91">
        <f>O21/O10*100</f>
        <v>26.08695652173913</v>
      </c>
      <c r="R21" s="90" t="s">
        <v>173</v>
      </c>
      <c r="S21" s="71"/>
      <c r="T21" s="630"/>
      <c r="U21" s="622"/>
      <c r="V21" s="662"/>
      <c r="W21" s="41" t="s">
        <v>66</v>
      </c>
      <c r="X21" s="42"/>
      <c r="Y21" s="43" t="s">
        <v>191</v>
      </c>
      <c r="Z21" s="34">
        <v>3026193</v>
      </c>
      <c r="AA21" s="35">
        <v>3069127</v>
      </c>
      <c r="AB21" s="36">
        <v>3237661</v>
      </c>
    </row>
    <row r="22" spans="1:28" s="44" customFormat="1" ht="29.25" customHeight="1">
      <c r="A22" s="630"/>
      <c r="B22" s="668"/>
      <c r="C22" s="42" t="s">
        <v>68</v>
      </c>
      <c r="D22" s="65"/>
      <c r="E22" s="65"/>
      <c r="F22" s="47"/>
      <c r="G22" s="60">
        <v>963</v>
      </c>
      <c r="H22" s="85" t="s">
        <v>181</v>
      </c>
      <c r="I22" s="91">
        <f>G22/G10*100</f>
        <v>97.37108190091</v>
      </c>
      <c r="J22" s="87" t="s">
        <v>173</v>
      </c>
      <c r="K22" s="88">
        <v>934</v>
      </c>
      <c r="L22" s="89" t="s">
        <v>181</v>
      </c>
      <c r="M22" s="91">
        <f>K22/K10*100</f>
        <v>94.43882709807887</v>
      </c>
      <c r="N22" s="87" t="s">
        <v>173</v>
      </c>
      <c r="O22" s="88">
        <v>976</v>
      </c>
      <c r="P22" s="89" t="s">
        <v>181</v>
      </c>
      <c r="Q22" s="91">
        <f>O22/O10*100</f>
        <v>98.685540950455</v>
      </c>
      <c r="R22" s="90" t="s">
        <v>173</v>
      </c>
      <c r="S22" s="71"/>
      <c r="T22" s="630"/>
      <c r="U22" s="622"/>
      <c r="V22" s="647"/>
      <c r="W22" s="66" t="s">
        <v>180</v>
      </c>
      <c r="X22" s="42" t="s">
        <v>69</v>
      </c>
      <c r="Y22" s="43"/>
      <c r="Z22" s="34">
        <v>573231</v>
      </c>
      <c r="AA22" s="35">
        <v>581590</v>
      </c>
      <c r="AB22" s="36">
        <v>559989</v>
      </c>
    </row>
    <row r="23" spans="1:28" s="44" customFormat="1" ht="29.25" customHeight="1" thickBot="1">
      <c r="A23" s="630"/>
      <c r="B23" s="669"/>
      <c r="C23" s="92" t="s">
        <v>70</v>
      </c>
      <c r="D23" s="93"/>
      <c r="E23" s="93"/>
      <c r="F23" s="94"/>
      <c r="G23" s="95">
        <v>174</v>
      </c>
      <c r="H23" s="77" t="s">
        <v>181</v>
      </c>
      <c r="I23" s="96">
        <f>G23/G10*100</f>
        <v>17.593528816986854</v>
      </c>
      <c r="J23" s="97" t="s">
        <v>173</v>
      </c>
      <c r="K23" s="98">
        <v>240</v>
      </c>
      <c r="L23" s="99" t="s">
        <v>181</v>
      </c>
      <c r="M23" s="96">
        <f>K23/K10*100</f>
        <v>24.26693629929221</v>
      </c>
      <c r="N23" s="97" t="s">
        <v>173</v>
      </c>
      <c r="O23" s="98">
        <v>257</v>
      </c>
      <c r="P23" s="99" t="s">
        <v>181</v>
      </c>
      <c r="Q23" s="96">
        <f>O23/O10*100</f>
        <v>25.985844287158745</v>
      </c>
      <c r="R23" s="81" t="s">
        <v>173</v>
      </c>
      <c r="S23" s="71"/>
      <c r="T23" s="630"/>
      <c r="U23" s="628"/>
      <c r="V23" s="41" t="s">
        <v>71</v>
      </c>
      <c r="W23" s="41"/>
      <c r="X23" s="42"/>
      <c r="Y23" s="43" t="s">
        <v>192</v>
      </c>
      <c r="Z23" s="34">
        <v>233022</v>
      </c>
      <c r="AA23" s="35">
        <v>259656</v>
      </c>
      <c r="AB23" s="36">
        <v>486131</v>
      </c>
    </row>
    <row r="24" spans="1:28" s="44" customFormat="1" ht="29.25" customHeight="1">
      <c r="A24" s="632" t="s">
        <v>73</v>
      </c>
      <c r="B24" s="56" t="s">
        <v>74</v>
      </c>
      <c r="C24" s="56"/>
      <c r="D24" s="56"/>
      <c r="E24" s="56"/>
      <c r="F24" s="57" t="s">
        <v>193</v>
      </c>
      <c r="G24" s="739">
        <f>G30/(G10*366)*100</f>
        <v>75.69549194141015</v>
      </c>
      <c r="H24" s="740"/>
      <c r="I24" s="740"/>
      <c r="J24" s="741"/>
      <c r="K24" s="739">
        <v>76.1</v>
      </c>
      <c r="L24" s="740"/>
      <c r="M24" s="740"/>
      <c r="N24" s="741"/>
      <c r="O24" s="698">
        <v>74.6</v>
      </c>
      <c r="P24" s="696"/>
      <c r="Q24" s="696"/>
      <c r="R24" s="699"/>
      <c r="S24" s="71"/>
      <c r="T24" s="630"/>
      <c r="U24" s="69" t="s">
        <v>76</v>
      </c>
      <c r="V24" s="41"/>
      <c r="W24" s="41"/>
      <c r="X24" s="42"/>
      <c r="Y24" s="43"/>
      <c r="Z24" s="100">
        <f>Z7-Z16</f>
        <v>638779</v>
      </c>
      <c r="AA24" s="101">
        <f>AA7-AA16</f>
        <v>397468</v>
      </c>
      <c r="AB24" s="102">
        <f>AB7-AB16</f>
        <v>648539</v>
      </c>
    </row>
    <row r="25" spans="1:28" s="44" customFormat="1" ht="29.25" customHeight="1" thickBot="1">
      <c r="A25" s="633"/>
      <c r="B25" s="65" t="s">
        <v>77</v>
      </c>
      <c r="C25" s="65"/>
      <c r="D25" s="65"/>
      <c r="E25" s="65"/>
      <c r="F25" s="47" t="s">
        <v>193</v>
      </c>
      <c r="G25" s="724">
        <v>87.2</v>
      </c>
      <c r="H25" s="725"/>
      <c r="I25" s="725"/>
      <c r="J25" s="726"/>
      <c r="K25" s="724">
        <v>88.9</v>
      </c>
      <c r="L25" s="725"/>
      <c r="M25" s="725"/>
      <c r="N25" s="726"/>
      <c r="O25" s="626">
        <v>89.9</v>
      </c>
      <c r="P25" s="624"/>
      <c r="Q25" s="624"/>
      <c r="R25" s="627"/>
      <c r="S25" s="71"/>
      <c r="T25" s="631"/>
      <c r="U25" s="103" t="s">
        <v>78</v>
      </c>
      <c r="V25" s="104"/>
      <c r="W25" s="104"/>
      <c r="X25" s="92"/>
      <c r="Y25" s="105"/>
      <c r="Z25" s="106">
        <f>Z6-Z15</f>
        <v>405757</v>
      </c>
      <c r="AA25" s="107">
        <f>AA6-AA15</f>
        <v>137812</v>
      </c>
      <c r="AB25" s="108">
        <f>AB6-AB15</f>
        <v>853329</v>
      </c>
    </row>
    <row r="26" spans="1:28" s="44" customFormat="1" ht="29.25" customHeight="1">
      <c r="A26" s="633"/>
      <c r="B26" s="65" t="s">
        <v>79</v>
      </c>
      <c r="C26" s="65"/>
      <c r="D26" s="65"/>
      <c r="E26" s="65"/>
      <c r="F26" s="57" t="s">
        <v>193</v>
      </c>
      <c r="G26" s="724">
        <v>87.8</v>
      </c>
      <c r="H26" s="725"/>
      <c r="I26" s="725"/>
      <c r="J26" s="726"/>
      <c r="K26" s="724">
        <v>89.6</v>
      </c>
      <c r="L26" s="725"/>
      <c r="M26" s="725"/>
      <c r="N26" s="726"/>
      <c r="O26" s="626">
        <v>90.6</v>
      </c>
      <c r="P26" s="624"/>
      <c r="Q26" s="624"/>
      <c r="R26" s="627"/>
      <c r="S26" s="71"/>
      <c r="T26" s="629" t="s">
        <v>80</v>
      </c>
      <c r="U26" s="46" t="s">
        <v>81</v>
      </c>
      <c r="V26" s="46"/>
      <c r="W26" s="46"/>
      <c r="X26" s="46"/>
      <c r="Y26" s="109" t="s">
        <v>194</v>
      </c>
      <c r="Z26" s="26">
        <v>3842787</v>
      </c>
      <c r="AA26" s="27">
        <v>1112036</v>
      </c>
      <c r="AB26" s="28">
        <v>764972</v>
      </c>
    </row>
    <row r="27" spans="1:28" s="44" customFormat="1" ht="29.25" customHeight="1">
      <c r="A27" s="633"/>
      <c r="B27" s="65" t="s">
        <v>83</v>
      </c>
      <c r="C27" s="65"/>
      <c r="D27" s="65"/>
      <c r="E27" s="65"/>
      <c r="F27" s="47" t="s">
        <v>84</v>
      </c>
      <c r="G27" s="724">
        <v>12.6</v>
      </c>
      <c r="H27" s="725"/>
      <c r="I27" s="725"/>
      <c r="J27" s="726"/>
      <c r="K27" s="724">
        <v>12.9</v>
      </c>
      <c r="L27" s="725"/>
      <c r="M27" s="725"/>
      <c r="N27" s="726"/>
      <c r="O27" s="626">
        <v>11.9</v>
      </c>
      <c r="P27" s="624"/>
      <c r="Q27" s="624"/>
      <c r="R27" s="627"/>
      <c r="S27" s="71"/>
      <c r="T27" s="630"/>
      <c r="U27" s="621" t="s">
        <v>180</v>
      </c>
      <c r="V27" s="41" t="s">
        <v>85</v>
      </c>
      <c r="W27" s="41"/>
      <c r="X27" s="42"/>
      <c r="Y27" s="43"/>
      <c r="Z27" s="34">
        <v>2800000</v>
      </c>
      <c r="AA27" s="35">
        <v>1070000</v>
      </c>
      <c r="AB27" s="36">
        <v>532000</v>
      </c>
    </row>
    <row r="28" spans="1:28" s="44" customFormat="1" ht="29.25" customHeight="1">
      <c r="A28" s="633"/>
      <c r="B28" s="660" t="s">
        <v>86</v>
      </c>
      <c r="C28" s="660"/>
      <c r="D28" s="110"/>
      <c r="E28" s="111" t="s">
        <v>87</v>
      </c>
      <c r="F28" s="47"/>
      <c r="G28" s="733">
        <f>G30/366</f>
        <v>748.6284153005464</v>
      </c>
      <c r="H28" s="734"/>
      <c r="I28" s="734"/>
      <c r="J28" s="735"/>
      <c r="K28" s="733">
        <v>752</v>
      </c>
      <c r="L28" s="734"/>
      <c r="M28" s="734"/>
      <c r="N28" s="735"/>
      <c r="O28" s="650">
        <v>738</v>
      </c>
      <c r="P28" s="648"/>
      <c r="Q28" s="648"/>
      <c r="R28" s="651"/>
      <c r="S28" s="71"/>
      <c r="T28" s="630"/>
      <c r="U28" s="628"/>
      <c r="V28" s="41" t="s">
        <v>88</v>
      </c>
      <c r="W28" s="41"/>
      <c r="X28" s="42"/>
      <c r="Y28" s="43"/>
      <c r="Z28" s="34"/>
      <c r="AA28" s="35"/>
      <c r="AB28" s="36"/>
    </row>
    <row r="29" spans="1:28" s="44" customFormat="1" ht="29.25" customHeight="1">
      <c r="A29" s="633"/>
      <c r="B29" s="661"/>
      <c r="C29" s="661"/>
      <c r="D29" s="112" t="s">
        <v>62</v>
      </c>
      <c r="E29" s="111" t="s">
        <v>89</v>
      </c>
      <c r="F29" s="47"/>
      <c r="G29" s="733">
        <f>G31/243</f>
        <v>3267.695473251029</v>
      </c>
      <c r="H29" s="734"/>
      <c r="I29" s="734"/>
      <c r="J29" s="735"/>
      <c r="K29" s="733">
        <v>3062</v>
      </c>
      <c r="L29" s="734"/>
      <c r="M29" s="734"/>
      <c r="N29" s="735"/>
      <c r="O29" s="650">
        <v>2998</v>
      </c>
      <c r="P29" s="648"/>
      <c r="Q29" s="648"/>
      <c r="R29" s="651"/>
      <c r="S29" s="71"/>
      <c r="T29" s="630"/>
      <c r="U29" s="65" t="s">
        <v>90</v>
      </c>
      <c r="V29" s="65"/>
      <c r="W29" s="65"/>
      <c r="X29" s="65"/>
      <c r="Y29" s="43" t="s">
        <v>195</v>
      </c>
      <c r="Z29" s="34">
        <v>6920114</v>
      </c>
      <c r="AA29" s="35">
        <v>4654284</v>
      </c>
      <c r="AB29" s="36">
        <v>3760446</v>
      </c>
    </row>
    <row r="30" spans="1:28" s="44" customFormat="1" ht="29.25" customHeight="1">
      <c r="A30" s="633"/>
      <c r="B30" s="660" t="s">
        <v>92</v>
      </c>
      <c r="C30" s="660"/>
      <c r="D30" s="113"/>
      <c r="E30" s="111" t="s">
        <v>87</v>
      </c>
      <c r="F30" s="47"/>
      <c r="G30" s="736">
        <v>273998</v>
      </c>
      <c r="H30" s="737"/>
      <c r="I30" s="737"/>
      <c r="J30" s="738"/>
      <c r="K30" s="736">
        <v>274588</v>
      </c>
      <c r="L30" s="737"/>
      <c r="M30" s="737"/>
      <c r="N30" s="738"/>
      <c r="O30" s="658">
        <v>269408</v>
      </c>
      <c r="P30" s="656"/>
      <c r="Q30" s="656"/>
      <c r="R30" s="659"/>
      <c r="S30" s="71"/>
      <c r="T30" s="630"/>
      <c r="U30" s="621" t="s">
        <v>180</v>
      </c>
      <c r="V30" s="41" t="s">
        <v>93</v>
      </c>
      <c r="W30" s="41"/>
      <c r="X30" s="42"/>
      <c r="Y30" s="43"/>
      <c r="Z30" s="34">
        <v>5851410</v>
      </c>
      <c r="AA30" s="35">
        <v>3535488</v>
      </c>
      <c r="AB30" s="36">
        <v>2621517</v>
      </c>
    </row>
    <row r="31" spans="1:28" s="44" customFormat="1" ht="29.25" customHeight="1">
      <c r="A31" s="633"/>
      <c r="B31" s="661"/>
      <c r="C31" s="661"/>
      <c r="D31" s="112" t="s">
        <v>62</v>
      </c>
      <c r="E31" s="111" t="s">
        <v>89</v>
      </c>
      <c r="F31" s="47"/>
      <c r="G31" s="736">
        <v>794050</v>
      </c>
      <c r="H31" s="737"/>
      <c r="I31" s="737"/>
      <c r="J31" s="738"/>
      <c r="K31" s="736">
        <v>750258</v>
      </c>
      <c r="L31" s="737"/>
      <c r="M31" s="737"/>
      <c r="N31" s="738"/>
      <c r="O31" s="658">
        <v>734442</v>
      </c>
      <c r="P31" s="656"/>
      <c r="Q31" s="656"/>
      <c r="R31" s="659"/>
      <c r="S31" s="71"/>
      <c r="T31" s="630"/>
      <c r="U31" s="628"/>
      <c r="V31" s="41" t="s">
        <v>94</v>
      </c>
      <c r="W31" s="41"/>
      <c r="X31" s="42"/>
      <c r="Y31" s="43"/>
      <c r="Z31" s="34">
        <v>1068704</v>
      </c>
      <c r="AA31" s="35">
        <v>1118796</v>
      </c>
      <c r="AB31" s="36">
        <v>1138929</v>
      </c>
    </row>
    <row r="32" spans="1:28" s="44" customFormat="1" ht="29.25" customHeight="1">
      <c r="A32" s="633"/>
      <c r="B32" s="65" t="s">
        <v>95</v>
      </c>
      <c r="C32" s="65"/>
      <c r="D32" s="65"/>
      <c r="E32" s="65"/>
      <c r="F32" s="47" t="s">
        <v>193</v>
      </c>
      <c r="G32" s="724">
        <f>G31/G30*100</f>
        <v>289.80138541157237</v>
      </c>
      <c r="H32" s="725"/>
      <c r="I32" s="725"/>
      <c r="J32" s="726"/>
      <c r="K32" s="724">
        <v>273.2</v>
      </c>
      <c r="L32" s="725"/>
      <c r="M32" s="725"/>
      <c r="N32" s="726"/>
      <c r="O32" s="626">
        <v>272.6</v>
      </c>
      <c r="P32" s="624"/>
      <c r="Q32" s="624"/>
      <c r="R32" s="627"/>
      <c r="S32" s="71"/>
      <c r="T32" s="630"/>
      <c r="U32" s="69" t="s">
        <v>96</v>
      </c>
      <c r="V32" s="66"/>
      <c r="W32" s="66"/>
      <c r="X32" s="67"/>
      <c r="Y32" s="43" t="s">
        <v>196</v>
      </c>
      <c r="Z32" s="178">
        <f>Z26-Z29</f>
        <v>-3077327</v>
      </c>
      <c r="AA32" s="179">
        <f>AA26-AA29</f>
        <v>-3542248</v>
      </c>
      <c r="AB32" s="180">
        <f>AB26-AB29</f>
        <v>-2995474</v>
      </c>
    </row>
    <row r="33" spans="1:28" s="44" customFormat="1" ht="29.25" customHeight="1">
      <c r="A33" s="633"/>
      <c r="B33" s="65" t="s">
        <v>98</v>
      </c>
      <c r="C33" s="65"/>
      <c r="D33" s="65"/>
      <c r="E33" s="65"/>
      <c r="F33" s="47" t="s">
        <v>99</v>
      </c>
      <c r="G33" s="736">
        <v>16958.9</v>
      </c>
      <c r="H33" s="737"/>
      <c r="I33" s="737"/>
      <c r="J33" s="738"/>
      <c r="K33" s="736">
        <v>16665</v>
      </c>
      <c r="L33" s="737"/>
      <c r="M33" s="737"/>
      <c r="N33" s="738"/>
      <c r="O33" s="658">
        <v>17549</v>
      </c>
      <c r="P33" s="656"/>
      <c r="Q33" s="656"/>
      <c r="R33" s="659"/>
      <c r="S33" s="71"/>
      <c r="T33" s="630"/>
      <c r="U33" s="65" t="s">
        <v>100</v>
      </c>
      <c r="V33" s="65"/>
      <c r="W33" s="65"/>
      <c r="X33" s="65"/>
      <c r="Y33" s="43" t="s">
        <v>197</v>
      </c>
      <c r="Z33" s="34">
        <v>3077327</v>
      </c>
      <c r="AA33" s="35">
        <v>3542248</v>
      </c>
      <c r="AB33" s="36">
        <v>2995474</v>
      </c>
    </row>
    <row r="34" spans="1:28" s="44" customFormat="1" ht="29.25" customHeight="1" thickBot="1">
      <c r="A34" s="633"/>
      <c r="B34" s="114" t="s">
        <v>102</v>
      </c>
      <c r="C34" s="114"/>
      <c r="D34" s="113"/>
      <c r="E34" s="111" t="s">
        <v>87</v>
      </c>
      <c r="F34" s="47"/>
      <c r="G34" s="724">
        <v>2.86</v>
      </c>
      <c r="H34" s="725"/>
      <c r="I34" s="725"/>
      <c r="J34" s="726"/>
      <c r="K34" s="724">
        <v>2.9</v>
      </c>
      <c r="L34" s="725"/>
      <c r="M34" s="725"/>
      <c r="N34" s="726"/>
      <c r="O34" s="626">
        <v>2.8</v>
      </c>
      <c r="P34" s="624"/>
      <c r="Q34" s="624"/>
      <c r="R34" s="627"/>
      <c r="S34" s="71"/>
      <c r="T34" s="631"/>
      <c r="U34" s="103" t="s">
        <v>103</v>
      </c>
      <c r="V34" s="104"/>
      <c r="W34" s="104"/>
      <c r="X34" s="92"/>
      <c r="Y34" s="105"/>
      <c r="Z34" s="115">
        <f>Z32+Z33</f>
        <v>0</v>
      </c>
      <c r="AA34" s="116">
        <f>AA32+AA33</f>
        <v>0</v>
      </c>
      <c r="AB34" s="117">
        <f>AB32+AB33</f>
        <v>0</v>
      </c>
    </row>
    <row r="35" spans="1:28" s="44" customFormat="1" ht="29.25" customHeight="1" thickBot="1">
      <c r="A35" s="633"/>
      <c r="B35" s="56" t="s">
        <v>104</v>
      </c>
      <c r="C35" s="56"/>
      <c r="D35" s="112" t="s">
        <v>62</v>
      </c>
      <c r="E35" s="111" t="s">
        <v>89</v>
      </c>
      <c r="F35" s="47"/>
      <c r="G35" s="724">
        <v>8.3</v>
      </c>
      <c r="H35" s="725"/>
      <c r="I35" s="725"/>
      <c r="J35" s="726"/>
      <c r="K35" s="724">
        <v>7.9</v>
      </c>
      <c r="L35" s="725"/>
      <c r="M35" s="725"/>
      <c r="N35" s="726"/>
      <c r="O35" s="626">
        <v>7.8</v>
      </c>
      <c r="P35" s="624"/>
      <c r="Q35" s="624"/>
      <c r="R35" s="627"/>
      <c r="S35" s="71"/>
      <c r="T35" s="118" t="s">
        <v>105</v>
      </c>
      <c r="U35" s="119"/>
      <c r="V35" s="119"/>
      <c r="W35" s="119"/>
      <c r="X35" s="120"/>
      <c r="Y35" s="121"/>
      <c r="Z35" s="122">
        <v>11289942</v>
      </c>
      <c r="AA35" s="123">
        <v>10894480</v>
      </c>
      <c r="AB35" s="117">
        <v>13299910</v>
      </c>
    </row>
    <row r="36" spans="1:28" s="44" customFormat="1" ht="29.25" customHeight="1">
      <c r="A36" s="633"/>
      <c r="B36" s="65" t="s">
        <v>106</v>
      </c>
      <c r="C36" s="65"/>
      <c r="D36" s="65"/>
      <c r="E36" s="65"/>
      <c r="F36" s="47" t="s">
        <v>99</v>
      </c>
      <c r="G36" s="733">
        <v>314.9977</v>
      </c>
      <c r="H36" s="734"/>
      <c r="I36" s="734"/>
      <c r="J36" s="735"/>
      <c r="K36" s="733">
        <v>318</v>
      </c>
      <c r="L36" s="734"/>
      <c r="M36" s="734"/>
      <c r="N36" s="735"/>
      <c r="O36" s="650">
        <v>325</v>
      </c>
      <c r="P36" s="648"/>
      <c r="Q36" s="648"/>
      <c r="R36" s="651"/>
      <c r="S36" s="124"/>
      <c r="T36" s="125" t="s">
        <v>107</v>
      </c>
      <c r="U36" s="126"/>
      <c r="V36" s="126"/>
      <c r="W36" s="126"/>
      <c r="X36" s="127"/>
      <c r="Y36" s="109"/>
      <c r="Z36" s="26">
        <v>2072238</v>
      </c>
      <c r="AA36" s="27">
        <v>2110746</v>
      </c>
      <c r="AB36" s="28">
        <v>2140627</v>
      </c>
    </row>
    <row r="37" spans="1:28" s="44" customFormat="1" ht="29.25" customHeight="1" thickBot="1">
      <c r="A37" s="633"/>
      <c r="B37" s="65" t="s">
        <v>108</v>
      </c>
      <c r="C37" s="59"/>
      <c r="D37" s="65"/>
      <c r="E37" s="65"/>
      <c r="F37" s="47" t="s">
        <v>193</v>
      </c>
      <c r="G37" s="724">
        <v>110.761</v>
      </c>
      <c r="H37" s="725"/>
      <c r="I37" s="725"/>
      <c r="J37" s="726"/>
      <c r="K37" s="724">
        <v>109.5</v>
      </c>
      <c r="L37" s="725"/>
      <c r="M37" s="725"/>
      <c r="N37" s="726"/>
      <c r="O37" s="626">
        <v>105.7</v>
      </c>
      <c r="P37" s="624"/>
      <c r="Q37" s="624"/>
      <c r="R37" s="627"/>
      <c r="S37" s="128"/>
      <c r="T37" s="129" t="s">
        <v>180</v>
      </c>
      <c r="U37" s="130"/>
      <c r="V37" s="92" t="s">
        <v>109</v>
      </c>
      <c r="W37" s="93"/>
      <c r="X37" s="93"/>
      <c r="Y37" s="105"/>
      <c r="Z37" s="131">
        <v>2020639</v>
      </c>
      <c r="AA37" s="132">
        <v>2065825</v>
      </c>
      <c r="AB37" s="133">
        <v>2095706</v>
      </c>
    </row>
    <row r="38" spans="1:28" s="44" customFormat="1" ht="29.25" customHeight="1" thickBot="1">
      <c r="A38" s="633"/>
      <c r="B38" s="114" t="s">
        <v>110</v>
      </c>
      <c r="C38" s="114"/>
      <c r="D38" s="113"/>
      <c r="E38" s="111" t="s">
        <v>87</v>
      </c>
      <c r="F38" s="47"/>
      <c r="G38" s="733">
        <v>58848.85</v>
      </c>
      <c r="H38" s="734"/>
      <c r="I38" s="734"/>
      <c r="J38" s="735"/>
      <c r="K38" s="733">
        <v>59490</v>
      </c>
      <c r="L38" s="734"/>
      <c r="M38" s="734"/>
      <c r="N38" s="735"/>
      <c r="O38" s="650">
        <v>62511</v>
      </c>
      <c r="P38" s="648"/>
      <c r="Q38" s="648"/>
      <c r="R38" s="651"/>
      <c r="S38" s="134"/>
      <c r="T38" s="37" t="s">
        <v>111</v>
      </c>
      <c r="U38" s="38"/>
      <c r="V38" s="38"/>
      <c r="W38" s="38"/>
      <c r="X38" s="38"/>
      <c r="Y38" s="121"/>
      <c r="Z38" s="135">
        <v>38273059</v>
      </c>
      <c r="AA38" s="136">
        <v>36478509</v>
      </c>
      <c r="AB38" s="137">
        <v>36239055</v>
      </c>
    </row>
    <row r="39" spans="1:28" s="44" customFormat="1" ht="29.25" customHeight="1">
      <c r="A39" s="633"/>
      <c r="B39" s="56" t="s">
        <v>112</v>
      </c>
      <c r="C39" s="56"/>
      <c r="D39" s="112" t="s">
        <v>113</v>
      </c>
      <c r="E39" s="111" t="s">
        <v>89</v>
      </c>
      <c r="F39" s="47"/>
      <c r="G39" s="733">
        <v>17602.997</v>
      </c>
      <c r="H39" s="734"/>
      <c r="I39" s="734"/>
      <c r="J39" s="735"/>
      <c r="K39" s="733">
        <v>18186</v>
      </c>
      <c r="L39" s="734"/>
      <c r="M39" s="734"/>
      <c r="N39" s="735"/>
      <c r="O39" s="650">
        <v>18957</v>
      </c>
      <c r="P39" s="648"/>
      <c r="Q39" s="648"/>
      <c r="R39" s="651"/>
      <c r="S39" s="124"/>
      <c r="T39" s="629" t="s">
        <v>114</v>
      </c>
      <c r="U39" s="629" t="s">
        <v>115</v>
      </c>
      <c r="V39" s="138" t="s">
        <v>116</v>
      </c>
      <c r="W39" s="126"/>
      <c r="X39" s="127"/>
      <c r="Y39" s="109"/>
      <c r="Z39" s="26">
        <v>48384713</v>
      </c>
      <c r="AA39" s="27">
        <v>47916586</v>
      </c>
      <c r="AB39" s="28">
        <v>45741869</v>
      </c>
    </row>
    <row r="40" spans="1:28" s="44" customFormat="1" ht="29.25" customHeight="1">
      <c r="A40" s="633"/>
      <c r="B40" s="139" t="s">
        <v>198</v>
      </c>
      <c r="C40" s="140"/>
      <c r="D40" s="141" t="s">
        <v>118</v>
      </c>
      <c r="E40" s="65"/>
      <c r="F40" s="47"/>
      <c r="G40" s="733">
        <v>30474</v>
      </c>
      <c r="H40" s="734"/>
      <c r="I40" s="734"/>
      <c r="J40" s="735"/>
      <c r="K40" s="733">
        <v>31786</v>
      </c>
      <c r="L40" s="734"/>
      <c r="M40" s="734"/>
      <c r="N40" s="735"/>
      <c r="O40" s="650">
        <v>33908</v>
      </c>
      <c r="P40" s="648"/>
      <c r="Q40" s="648"/>
      <c r="R40" s="651"/>
      <c r="S40" s="71"/>
      <c r="T40" s="630"/>
      <c r="U40" s="630"/>
      <c r="V40" s="621" t="s">
        <v>180</v>
      </c>
      <c r="W40" s="41" t="s">
        <v>119</v>
      </c>
      <c r="X40" s="42"/>
      <c r="Y40" s="43"/>
      <c r="Z40" s="34">
        <v>76833131</v>
      </c>
      <c r="AA40" s="35">
        <v>77166974</v>
      </c>
      <c r="AB40" s="36">
        <v>76666916</v>
      </c>
    </row>
    <row r="41" spans="1:28" s="44" customFormat="1" ht="29.25" customHeight="1">
      <c r="A41" s="633"/>
      <c r="B41" s="142"/>
      <c r="C41" s="143"/>
      <c r="D41" s="144" t="s">
        <v>180</v>
      </c>
      <c r="E41" s="42" t="s">
        <v>120</v>
      </c>
      <c r="F41" s="47"/>
      <c r="G41" s="733">
        <v>7195.8</v>
      </c>
      <c r="H41" s="734"/>
      <c r="I41" s="734"/>
      <c r="J41" s="735"/>
      <c r="K41" s="733">
        <v>7258</v>
      </c>
      <c r="L41" s="734"/>
      <c r="M41" s="734"/>
      <c r="N41" s="735"/>
      <c r="O41" s="650">
        <v>7730</v>
      </c>
      <c r="P41" s="648"/>
      <c r="Q41" s="648"/>
      <c r="R41" s="651"/>
      <c r="S41" s="71"/>
      <c r="T41" s="630"/>
      <c r="U41" s="630"/>
      <c r="V41" s="628"/>
      <c r="W41" s="41" t="s">
        <v>121</v>
      </c>
      <c r="X41" s="67"/>
      <c r="Y41" s="145"/>
      <c r="Z41" s="34">
        <v>30966054</v>
      </c>
      <c r="AA41" s="35">
        <v>32515450</v>
      </c>
      <c r="AB41" s="36">
        <v>33925926</v>
      </c>
    </row>
    <row r="42" spans="1:28" s="44" customFormat="1" ht="29.25" customHeight="1">
      <c r="A42" s="633"/>
      <c r="B42" s="146" t="s">
        <v>122</v>
      </c>
      <c r="C42" s="147"/>
      <c r="D42" s="42" t="s">
        <v>123</v>
      </c>
      <c r="E42" s="65"/>
      <c r="F42" s="47"/>
      <c r="G42" s="733">
        <v>32034.7</v>
      </c>
      <c r="H42" s="734"/>
      <c r="I42" s="734"/>
      <c r="J42" s="735"/>
      <c r="K42" s="733">
        <v>33711</v>
      </c>
      <c r="L42" s="734"/>
      <c r="M42" s="734"/>
      <c r="N42" s="735"/>
      <c r="O42" s="650">
        <v>35191</v>
      </c>
      <c r="P42" s="648"/>
      <c r="Q42" s="648"/>
      <c r="R42" s="651"/>
      <c r="S42" s="71"/>
      <c r="T42" s="630"/>
      <c r="U42" s="630"/>
      <c r="V42" s="69" t="s">
        <v>124</v>
      </c>
      <c r="W42" s="41"/>
      <c r="X42" s="42"/>
      <c r="Y42" s="43"/>
      <c r="Z42" s="148">
        <v>13685402</v>
      </c>
      <c r="AA42" s="149">
        <v>13833403</v>
      </c>
      <c r="AB42" s="150">
        <v>15942479</v>
      </c>
    </row>
    <row r="43" spans="1:28" s="44" customFormat="1" ht="29.25" customHeight="1">
      <c r="A43" s="633"/>
      <c r="B43" s="146" t="s">
        <v>125</v>
      </c>
      <c r="C43" s="143"/>
      <c r="D43" s="646" t="s">
        <v>180</v>
      </c>
      <c r="E43" s="42" t="s">
        <v>126</v>
      </c>
      <c r="F43" s="47"/>
      <c r="G43" s="733">
        <v>11490.48</v>
      </c>
      <c r="H43" s="734"/>
      <c r="I43" s="734"/>
      <c r="J43" s="735"/>
      <c r="K43" s="733">
        <v>12026</v>
      </c>
      <c r="L43" s="734"/>
      <c r="M43" s="734"/>
      <c r="N43" s="735"/>
      <c r="O43" s="650">
        <v>12810</v>
      </c>
      <c r="P43" s="648"/>
      <c r="Q43" s="648"/>
      <c r="R43" s="651"/>
      <c r="S43" s="71"/>
      <c r="T43" s="630"/>
      <c r="U43" s="630"/>
      <c r="V43" s="621" t="s">
        <v>180</v>
      </c>
      <c r="W43" s="41" t="s">
        <v>127</v>
      </c>
      <c r="X43" s="42"/>
      <c r="Y43" s="43"/>
      <c r="Z43" s="34">
        <v>7059466</v>
      </c>
      <c r="AA43" s="35">
        <v>8224315</v>
      </c>
      <c r="AB43" s="36">
        <v>10125556</v>
      </c>
    </row>
    <row r="44" spans="1:28" s="44" customFormat="1" ht="29.25" customHeight="1">
      <c r="A44" s="633"/>
      <c r="B44" s="151"/>
      <c r="C44" s="152" t="s">
        <v>128</v>
      </c>
      <c r="D44" s="647"/>
      <c r="E44" s="42" t="s">
        <v>129</v>
      </c>
      <c r="F44" s="47"/>
      <c r="G44" s="733">
        <v>6496.67</v>
      </c>
      <c r="H44" s="734"/>
      <c r="I44" s="734"/>
      <c r="J44" s="735"/>
      <c r="K44" s="733">
        <v>6630</v>
      </c>
      <c r="L44" s="734"/>
      <c r="M44" s="734"/>
      <c r="N44" s="735"/>
      <c r="O44" s="650">
        <v>7313</v>
      </c>
      <c r="P44" s="648"/>
      <c r="Q44" s="648"/>
      <c r="R44" s="651"/>
      <c r="S44" s="71"/>
      <c r="T44" s="630"/>
      <c r="U44" s="630"/>
      <c r="V44" s="622"/>
      <c r="W44" s="41" t="s">
        <v>130</v>
      </c>
      <c r="X44" s="42"/>
      <c r="Y44" s="43"/>
      <c r="Z44" s="153">
        <v>6364277</v>
      </c>
      <c r="AA44" s="154">
        <v>5356301</v>
      </c>
      <c r="AB44" s="155">
        <v>5496936</v>
      </c>
    </row>
    <row r="45" spans="1:28" s="44" customFormat="1" ht="29.25" customHeight="1">
      <c r="A45" s="633"/>
      <c r="B45" s="151"/>
      <c r="C45" s="143"/>
      <c r="D45" s="142" t="s">
        <v>131</v>
      </c>
      <c r="E45" s="142"/>
      <c r="F45" s="71"/>
      <c r="G45" s="733">
        <v>379.9</v>
      </c>
      <c r="H45" s="734"/>
      <c r="I45" s="734"/>
      <c r="J45" s="735"/>
      <c r="K45" s="733">
        <v>134</v>
      </c>
      <c r="L45" s="734"/>
      <c r="M45" s="734"/>
      <c r="N45" s="735"/>
      <c r="O45" s="650">
        <v>850</v>
      </c>
      <c r="P45" s="648"/>
      <c r="Q45" s="648"/>
      <c r="R45" s="651"/>
      <c r="S45" s="71"/>
      <c r="T45" s="630"/>
      <c r="U45" s="630"/>
      <c r="V45" s="628"/>
      <c r="W45" s="41" t="s">
        <v>132</v>
      </c>
      <c r="X45" s="42"/>
      <c r="Y45" s="43"/>
      <c r="Z45" s="34">
        <v>261321</v>
      </c>
      <c r="AA45" s="35">
        <v>252455</v>
      </c>
      <c r="AB45" s="36">
        <v>319652</v>
      </c>
    </row>
    <row r="46" spans="1:28" s="44" customFormat="1" ht="29.25" customHeight="1" thickBot="1">
      <c r="A46" s="633"/>
      <c r="B46" s="156" t="s">
        <v>133</v>
      </c>
      <c r="C46" s="114"/>
      <c r="D46" s="114"/>
      <c r="E46" s="65"/>
      <c r="F46" s="47" t="s">
        <v>134</v>
      </c>
      <c r="G46" s="733">
        <v>471.78</v>
      </c>
      <c r="H46" s="734"/>
      <c r="I46" s="734"/>
      <c r="J46" s="735"/>
      <c r="K46" s="733">
        <v>485</v>
      </c>
      <c r="L46" s="734"/>
      <c r="M46" s="734"/>
      <c r="N46" s="735"/>
      <c r="O46" s="650">
        <v>484</v>
      </c>
      <c r="P46" s="648"/>
      <c r="Q46" s="648"/>
      <c r="R46" s="651"/>
      <c r="S46" s="71"/>
      <c r="T46" s="630"/>
      <c r="U46" s="630"/>
      <c r="V46" s="157" t="s">
        <v>135</v>
      </c>
      <c r="W46" s="158"/>
      <c r="X46" s="159"/>
      <c r="Y46" s="160"/>
      <c r="Z46" s="148">
        <v>2568760</v>
      </c>
      <c r="AA46" s="149">
        <v>3420044</v>
      </c>
      <c r="AB46" s="150">
        <v>3460106</v>
      </c>
    </row>
    <row r="47" spans="1:28" s="44" customFormat="1" ht="29.25" customHeight="1" thickBot="1">
      <c r="A47" s="633"/>
      <c r="B47" s="114" t="s">
        <v>136</v>
      </c>
      <c r="C47" s="114"/>
      <c r="D47" s="113"/>
      <c r="E47" s="42" t="s">
        <v>137</v>
      </c>
      <c r="F47" s="47"/>
      <c r="G47" s="733">
        <v>101181.3</v>
      </c>
      <c r="H47" s="734"/>
      <c r="I47" s="734"/>
      <c r="J47" s="735"/>
      <c r="K47" s="733">
        <v>102539</v>
      </c>
      <c r="L47" s="734"/>
      <c r="M47" s="734"/>
      <c r="N47" s="735"/>
      <c r="O47" s="650">
        <v>108619</v>
      </c>
      <c r="P47" s="648"/>
      <c r="Q47" s="648"/>
      <c r="R47" s="651"/>
      <c r="S47" s="71"/>
      <c r="T47" s="630"/>
      <c r="U47" s="631"/>
      <c r="V47" s="118" t="s">
        <v>138</v>
      </c>
      <c r="W47" s="119"/>
      <c r="X47" s="120"/>
      <c r="Y47" s="121"/>
      <c r="Z47" s="135">
        <f>Z39+Z42+Z46</f>
        <v>64638875</v>
      </c>
      <c r="AA47" s="136">
        <f>AA39+AA42+AA46</f>
        <v>65170033</v>
      </c>
      <c r="AB47" s="137">
        <f>AB39+AB42+AB46</f>
        <v>65144454</v>
      </c>
    </row>
    <row r="48" spans="1:28" s="44" customFormat="1" ht="29.25" customHeight="1" thickBot="1">
      <c r="A48" s="634"/>
      <c r="B48" s="73" t="s">
        <v>139</v>
      </c>
      <c r="C48" s="74"/>
      <c r="D48" s="161"/>
      <c r="E48" s="159" t="s">
        <v>140</v>
      </c>
      <c r="F48" s="162"/>
      <c r="G48" s="742">
        <v>99232.65</v>
      </c>
      <c r="H48" s="743"/>
      <c r="I48" s="743"/>
      <c r="J48" s="744"/>
      <c r="K48" s="742">
        <v>101854</v>
      </c>
      <c r="L48" s="743"/>
      <c r="M48" s="743"/>
      <c r="N48" s="744"/>
      <c r="O48" s="702">
        <v>106278</v>
      </c>
      <c r="P48" s="700"/>
      <c r="Q48" s="700"/>
      <c r="R48" s="703"/>
      <c r="S48" s="71"/>
      <c r="T48" s="630"/>
      <c r="U48" s="629" t="s">
        <v>141</v>
      </c>
      <c r="V48" s="138" t="s">
        <v>142</v>
      </c>
      <c r="W48" s="126"/>
      <c r="X48" s="127"/>
      <c r="Y48" s="109"/>
      <c r="Z48" s="26">
        <v>553</v>
      </c>
      <c r="AA48" s="27">
        <v>553</v>
      </c>
      <c r="AB48" s="28">
        <v>553</v>
      </c>
    </row>
    <row r="49" spans="1:28" s="44" customFormat="1" ht="29.25" customHeight="1">
      <c r="A49" s="632" t="s">
        <v>143</v>
      </c>
      <c r="B49" s="163" t="s">
        <v>54</v>
      </c>
      <c r="C49" s="56"/>
      <c r="D49" s="56"/>
      <c r="E49" s="46"/>
      <c r="F49" s="84"/>
      <c r="G49" s="727">
        <v>36.1</v>
      </c>
      <c r="H49" s="728"/>
      <c r="I49" s="728"/>
      <c r="J49" s="729"/>
      <c r="K49" s="727">
        <v>35.9</v>
      </c>
      <c r="L49" s="728"/>
      <c r="M49" s="728"/>
      <c r="N49" s="729"/>
      <c r="O49" s="637">
        <v>36.9</v>
      </c>
      <c r="P49" s="635"/>
      <c r="Q49" s="635"/>
      <c r="R49" s="638"/>
      <c r="S49" s="71"/>
      <c r="T49" s="630"/>
      <c r="U49" s="630"/>
      <c r="V49" s="69" t="s">
        <v>144</v>
      </c>
      <c r="W49" s="41"/>
      <c r="X49" s="42"/>
      <c r="Y49" s="43"/>
      <c r="Z49" s="34">
        <v>2395460</v>
      </c>
      <c r="AA49" s="35">
        <v>2938923</v>
      </c>
      <c r="AB49" s="36">
        <v>2642569</v>
      </c>
    </row>
    <row r="50" spans="1:28" s="44" customFormat="1" ht="29.25" customHeight="1">
      <c r="A50" s="633"/>
      <c r="B50" s="70" t="s">
        <v>145</v>
      </c>
      <c r="C50" s="65"/>
      <c r="D50" s="65"/>
      <c r="E50" s="65"/>
      <c r="F50" s="47"/>
      <c r="G50" s="724">
        <v>1.69</v>
      </c>
      <c r="H50" s="725"/>
      <c r="I50" s="725"/>
      <c r="J50" s="726"/>
      <c r="K50" s="724">
        <v>1.7</v>
      </c>
      <c r="L50" s="725"/>
      <c r="M50" s="725"/>
      <c r="N50" s="726"/>
      <c r="O50" s="626">
        <v>1.6</v>
      </c>
      <c r="P50" s="624"/>
      <c r="Q50" s="624"/>
      <c r="R50" s="627"/>
      <c r="S50" s="71"/>
      <c r="T50" s="630"/>
      <c r="U50" s="630"/>
      <c r="V50" s="6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633"/>
      <c r="B51" s="164" t="s">
        <v>63</v>
      </c>
      <c r="C51" s="142"/>
      <c r="D51" s="142"/>
      <c r="E51" s="142"/>
      <c r="F51" s="71"/>
      <c r="G51" s="724">
        <v>8.54</v>
      </c>
      <c r="H51" s="725"/>
      <c r="I51" s="725"/>
      <c r="J51" s="726"/>
      <c r="K51" s="724">
        <v>8.2</v>
      </c>
      <c r="L51" s="725"/>
      <c r="M51" s="725"/>
      <c r="N51" s="726"/>
      <c r="O51" s="626">
        <v>8.3</v>
      </c>
      <c r="P51" s="624"/>
      <c r="Q51" s="624"/>
      <c r="R51" s="627"/>
      <c r="S51" s="71"/>
      <c r="T51" s="630"/>
      <c r="U51" s="630"/>
      <c r="V51" s="623"/>
      <c r="W51" s="104" t="s">
        <v>147</v>
      </c>
      <c r="X51" s="92"/>
      <c r="Y51" s="105"/>
      <c r="Z51" s="131">
        <v>2213171</v>
      </c>
      <c r="AA51" s="132">
        <v>2744698</v>
      </c>
      <c r="AB51" s="133">
        <v>2430610</v>
      </c>
    </row>
    <row r="52" spans="1:28" s="44" customFormat="1" ht="29.25" customHeight="1" thickBot="1">
      <c r="A52" s="633"/>
      <c r="B52" s="70" t="s">
        <v>148</v>
      </c>
      <c r="C52" s="65"/>
      <c r="D52" s="65"/>
      <c r="E52" s="65"/>
      <c r="F52" s="47"/>
      <c r="G52" s="724">
        <v>31.1</v>
      </c>
      <c r="H52" s="725"/>
      <c r="I52" s="725"/>
      <c r="J52" s="726"/>
      <c r="K52" s="724">
        <v>29.8</v>
      </c>
      <c r="L52" s="725"/>
      <c r="M52" s="725"/>
      <c r="N52" s="726"/>
      <c r="O52" s="626">
        <v>30.9</v>
      </c>
      <c r="P52" s="624"/>
      <c r="Q52" s="624"/>
      <c r="R52" s="627"/>
      <c r="S52" s="71"/>
      <c r="T52" s="630"/>
      <c r="U52" s="631"/>
      <c r="V52" s="161" t="s">
        <v>149</v>
      </c>
      <c r="W52" s="165"/>
      <c r="X52" s="166"/>
      <c r="Y52" s="167"/>
      <c r="Z52" s="168">
        <f>Z48+Z49</f>
        <v>2396013</v>
      </c>
      <c r="AA52" s="169">
        <f>AA48+AA49</f>
        <v>2939476</v>
      </c>
      <c r="AB52" s="170">
        <f>AB48+AB49</f>
        <v>2643122</v>
      </c>
    </row>
    <row r="53" spans="1:28" s="44" customFormat="1" ht="29.25" customHeight="1" thickBot="1">
      <c r="A53" s="634"/>
      <c r="B53" s="73" t="s">
        <v>150</v>
      </c>
      <c r="C53" s="74"/>
      <c r="D53" s="74"/>
      <c r="E53" s="74"/>
      <c r="F53" s="75"/>
      <c r="G53" s="730">
        <v>22.55</v>
      </c>
      <c r="H53" s="731"/>
      <c r="I53" s="731"/>
      <c r="J53" s="732"/>
      <c r="K53" s="730">
        <v>24.4</v>
      </c>
      <c r="L53" s="731"/>
      <c r="M53" s="731"/>
      <c r="N53" s="732"/>
      <c r="O53" s="641">
        <v>22.3</v>
      </c>
      <c r="P53" s="639"/>
      <c r="Q53" s="639"/>
      <c r="R53" s="642"/>
      <c r="S53" s="71"/>
      <c r="T53" s="630"/>
      <c r="U53" s="629" t="s">
        <v>151</v>
      </c>
      <c r="V53" s="138" t="s">
        <v>152</v>
      </c>
      <c r="W53" s="126"/>
      <c r="X53" s="127"/>
      <c r="Y53" s="109"/>
      <c r="Z53" s="26">
        <v>40075697</v>
      </c>
      <c r="AA53" s="27">
        <v>40026902</v>
      </c>
      <c r="AB53" s="28">
        <v>39456518</v>
      </c>
    </row>
    <row r="54" spans="1:28" s="44" customFormat="1" ht="29.25" customHeight="1">
      <c r="A54" s="632" t="s">
        <v>153</v>
      </c>
      <c r="B54" s="45" t="s">
        <v>154</v>
      </c>
      <c r="C54" s="46"/>
      <c r="D54" s="46"/>
      <c r="E54" s="46"/>
      <c r="F54" s="84"/>
      <c r="G54" s="727">
        <v>50.9</v>
      </c>
      <c r="H54" s="728"/>
      <c r="I54" s="728"/>
      <c r="J54" s="729"/>
      <c r="K54" s="727">
        <v>50.5</v>
      </c>
      <c r="L54" s="728"/>
      <c r="M54" s="728"/>
      <c r="N54" s="729"/>
      <c r="O54" s="637">
        <v>51.9</v>
      </c>
      <c r="P54" s="635"/>
      <c r="Q54" s="635"/>
      <c r="R54" s="638"/>
      <c r="S54" s="71"/>
      <c r="T54" s="630"/>
      <c r="U54" s="630"/>
      <c r="V54" s="621" t="s">
        <v>32</v>
      </c>
      <c r="W54" s="41" t="s">
        <v>155</v>
      </c>
      <c r="X54" s="42"/>
      <c r="Y54" s="43"/>
      <c r="Z54" s="34">
        <v>10737642</v>
      </c>
      <c r="AA54" s="35">
        <v>10737643</v>
      </c>
      <c r="AB54" s="36">
        <v>10774187</v>
      </c>
    </row>
    <row r="55" spans="1:28" s="44" customFormat="1" ht="29.25" customHeight="1">
      <c r="A55" s="633"/>
      <c r="B55" s="70" t="s">
        <v>156</v>
      </c>
      <c r="C55" s="65"/>
      <c r="D55" s="65"/>
      <c r="E55" s="65"/>
      <c r="F55" s="171"/>
      <c r="G55" s="724">
        <v>571.3</v>
      </c>
      <c r="H55" s="725"/>
      <c r="I55" s="725"/>
      <c r="J55" s="726"/>
      <c r="K55" s="724">
        <v>470.7</v>
      </c>
      <c r="L55" s="725"/>
      <c r="M55" s="725"/>
      <c r="N55" s="726"/>
      <c r="O55" s="626">
        <v>603.3</v>
      </c>
      <c r="P55" s="624"/>
      <c r="Q55" s="624"/>
      <c r="R55" s="627"/>
      <c r="S55" s="71"/>
      <c r="T55" s="630"/>
      <c r="U55" s="630"/>
      <c r="V55" s="622"/>
      <c r="W55" s="41" t="s">
        <v>85</v>
      </c>
      <c r="X55" s="42"/>
      <c r="Y55" s="43"/>
      <c r="Z55" s="34">
        <v>29338055</v>
      </c>
      <c r="AA55" s="35">
        <v>29289259</v>
      </c>
      <c r="AB55" s="36">
        <v>28682331</v>
      </c>
    </row>
    <row r="56" spans="1:28" s="44" customFormat="1" ht="29.25" customHeight="1">
      <c r="A56" s="633"/>
      <c r="B56" s="70" t="s">
        <v>157</v>
      </c>
      <c r="C56" s="65"/>
      <c r="D56" s="65"/>
      <c r="E56" s="65"/>
      <c r="F56" s="171"/>
      <c r="G56" s="724">
        <v>101.88</v>
      </c>
      <c r="H56" s="725"/>
      <c r="I56" s="725"/>
      <c r="J56" s="726"/>
      <c r="K56" s="724">
        <v>101.2</v>
      </c>
      <c r="L56" s="725"/>
      <c r="M56" s="725"/>
      <c r="N56" s="726"/>
      <c r="O56" s="626">
        <v>101.9</v>
      </c>
      <c r="P56" s="624"/>
      <c r="Q56" s="624"/>
      <c r="R56" s="627"/>
      <c r="S56" s="71"/>
      <c r="T56" s="630"/>
      <c r="U56" s="630"/>
      <c r="V56" s="6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633"/>
      <c r="B57" s="70" t="s">
        <v>159</v>
      </c>
      <c r="C57" s="65"/>
      <c r="D57" s="65"/>
      <c r="E57" s="65"/>
      <c r="F57" s="171"/>
      <c r="G57" s="724">
        <v>101.96</v>
      </c>
      <c r="H57" s="725"/>
      <c r="I57" s="725"/>
      <c r="J57" s="726"/>
      <c r="K57" s="724">
        <v>100.7</v>
      </c>
      <c r="L57" s="725"/>
      <c r="M57" s="725"/>
      <c r="N57" s="726"/>
      <c r="O57" s="626">
        <v>102.2</v>
      </c>
      <c r="P57" s="624"/>
      <c r="Q57" s="624"/>
      <c r="R57" s="627"/>
      <c r="S57" s="71"/>
      <c r="T57" s="630"/>
      <c r="U57" s="630"/>
      <c r="V57" s="69" t="s">
        <v>160</v>
      </c>
      <c r="W57" s="41"/>
      <c r="X57" s="42"/>
      <c r="Y57" s="43"/>
      <c r="Z57" s="34">
        <v>22167165</v>
      </c>
      <c r="AA57" s="35">
        <v>22203655</v>
      </c>
      <c r="AB57" s="36">
        <v>23044814</v>
      </c>
    </row>
    <row r="58" spans="1:28" s="44" customFormat="1" ht="29.25" customHeight="1">
      <c r="A58" s="633"/>
      <c r="B58" s="70" t="s">
        <v>161</v>
      </c>
      <c r="C58" s="65"/>
      <c r="D58" s="65"/>
      <c r="E58" s="65"/>
      <c r="F58" s="171"/>
      <c r="G58" s="724"/>
      <c r="H58" s="725"/>
      <c r="I58" s="725"/>
      <c r="J58" s="726"/>
      <c r="K58" s="724"/>
      <c r="L58" s="725"/>
      <c r="M58" s="725"/>
      <c r="N58" s="726"/>
      <c r="O58" s="626"/>
      <c r="P58" s="624"/>
      <c r="Q58" s="624"/>
      <c r="R58" s="627"/>
      <c r="S58" s="71"/>
      <c r="T58" s="630"/>
      <c r="U58" s="630"/>
      <c r="V58" s="621" t="s">
        <v>32</v>
      </c>
      <c r="W58" s="41" t="s">
        <v>162</v>
      </c>
      <c r="X58" s="42"/>
      <c r="Y58" s="43"/>
      <c r="Z58" s="34">
        <v>12932601</v>
      </c>
      <c r="AA58" s="35">
        <v>12831280</v>
      </c>
      <c r="AB58" s="36">
        <v>12819109</v>
      </c>
    </row>
    <row r="59" spans="1:28" s="44" customFormat="1" ht="29.25" customHeight="1">
      <c r="A59" s="633"/>
      <c r="B59" s="70" t="s">
        <v>163</v>
      </c>
      <c r="C59" s="65"/>
      <c r="D59" s="65"/>
      <c r="E59" s="65"/>
      <c r="F59" s="171"/>
      <c r="G59" s="724"/>
      <c r="H59" s="725"/>
      <c r="I59" s="725"/>
      <c r="J59" s="726"/>
      <c r="K59" s="724"/>
      <c r="L59" s="725"/>
      <c r="M59" s="725"/>
      <c r="N59" s="726"/>
      <c r="O59" s="626"/>
      <c r="P59" s="624"/>
      <c r="Q59" s="624"/>
      <c r="R59" s="627"/>
      <c r="S59" s="71"/>
      <c r="T59" s="630"/>
      <c r="U59" s="630"/>
      <c r="V59" s="622"/>
      <c r="W59" s="41" t="s">
        <v>164</v>
      </c>
      <c r="X59" s="42"/>
      <c r="Y59" s="43"/>
      <c r="Z59" s="34">
        <v>7825635</v>
      </c>
      <c r="AA59" s="35">
        <v>8896634</v>
      </c>
      <c r="AB59" s="36">
        <v>8896635</v>
      </c>
    </row>
    <row r="60" spans="1:28" s="44" customFormat="1" ht="29.25" customHeight="1" thickBot="1">
      <c r="A60" s="633"/>
      <c r="B60" s="643" t="s">
        <v>165</v>
      </c>
      <c r="C60" s="42" t="s">
        <v>166</v>
      </c>
      <c r="D60" s="65"/>
      <c r="E60" s="65"/>
      <c r="F60" s="171"/>
      <c r="G60" s="724">
        <v>3.39</v>
      </c>
      <c r="H60" s="725"/>
      <c r="I60" s="725"/>
      <c r="J60" s="726"/>
      <c r="K60" s="724">
        <v>3.6</v>
      </c>
      <c r="L60" s="725"/>
      <c r="M60" s="725"/>
      <c r="N60" s="726"/>
      <c r="O60" s="626">
        <v>3.5</v>
      </c>
      <c r="P60" s="624"/>
      <c r="Q60" s="624"/>
      <c r="R60" s="627"/>
      <c r="S60" s="71"/>
      <c r="T60" s="630"/>
      <c r="U60" s="630"/>
      <c r="V60" s="623"/>
      <c r="W60" s="92" t="s">
        <v>167</v>
      </c>
      <c r="X60" s="172"/>
      <c r="Y60" s="173"/>
      <c r="Z60" s="106">
        <v>1408929</v>
      </c>
      <c r="AA60" s="107">
        <v>475741</v>
      </c>
      <c r="AB60" s="108">
        <v>1329070</v>
      </c>
    </row>
    <row r="61" spans="1:28" s="44" customFormat="1" ht="29.25" customHeight="1" thickBot="1">
      <c r="A61" s="633"/>
      <c r="B61" s="644"/>
      <c r="C61" s="42" t="s">
        <v>168</v>
      </c>
      <c r="D61" s="65"/>
      <c r="E61" s="65"/>
      <c r="F61" s="171"/>
      <c r="G61" s="724">
        <v>1.82</v>
      </c>
      <c r="H61" s="725"/>
      <c r="I61" s="725"/>
      <c r="J61" s="726"/>
      <c r="K61" s="724">
        <v>1.9</v>
      </c>
      <c r="L61" s="725"/>
      <c r="M61" s="725"/>
      <c r="N61" s="726"/>
      <c r="O61" s="626">
        <v>1.7</v>
      </c>
      <c r="P61" s="624"/>
      <c r="Q61" s="624"/>
      <c r="R61" s="627"/>
      <c r="S61" s="71"/>
      <c r="T61" s="631"/>
      <c r="U61" s="631"/>
      <c r="V61" s="161" t="s">
        <v>169</v>
      </c>
      <c r="W61" s="165"/>
      <c r="X61" s="166"/>
      <c r="Y61" s="167"/>
      <c r="Z61" s="168">
        <f>Z53+Z57</f>
        <v>62242862</v>
      </c>
      <c r="AA61" s="169">
        <f>AA53+AA57</f>
        <v>62230557</v>
      </c>
      <c r="AB61" s="170">
        <f>AB53+AB57</f>
        <v>62501332</v>
      </c>
    </row>
    <row r="62" spans="1:28" s="44" customFormat="1" ht="29.25" customHeight="1">
      <c r="A62" s="633"/>
      <c r="B62" s="644"/>
      <c r="C62" s="42" t="s">
        <v>170</v>
      </c>
      <c r="D62" s="65"/>
      <c r="E62" s="65"/>
      <c r="F62" s="171"/>
      <c r="G62" s="724">
        <v>5.2</v>
      </c>
      <c r="H62" s="725"/>
      <c r="I62" s="725"/>
      <c r="J62" s="726"/>
      <c r="K62" s="724">
        <v>5.4</v>
      </c>
      <c r="L62" s="725"/>
      <c r="M62" s="725"/>
      <c r="N62" s="726"/>
      <c r="O62" s="626">
        <v>5.3</v>
      </c>
      <c r="P62" s="624"/>
      <c r="Q62" s="624"/>
      <c r="R62" s="627"/>
      <c r="S62" s="124"/>
      <c r="T62" s="174"/>
      <c r="U62" s="142"/>
      <c r="V62" s="142"/>
      <c r="W62" s="142"/>
      <c r="X62" s="142"/>
      <c r="Y62" s="142"/>
      <c r="Z62" s="142"/>
      <c r="AA62" s="142"/>
      <c r="AB62" s="142"/>
    </row>
    <row r="63" spans="1:28" s="44" customFormat="1" ht="29.25" customHeight="1">
      <c r="A63" s="633"/>
      <c r="B63" s="644"/>
      <c r="C63" s="42" t="s">
        <v>54</v>
      </c>
      <c r="D63" s="65"/>
      <c r="E63" s="65"/>
      <c r="F63" s="171"/>
      <c r="G63" s="724">
        <v>38.88</v>
      </c>
      <c r="H63" s="725"/>
      <c r="I63" s="725"/>
      <c r="J63" s="726"/>
      <c r="K63" s="724">
        <v>39.2</v>
      </c>
      <c r="L63" s="725"/>
      <c r="M63" s="725"/>
      <c r="N63" s="726"/>
      <c r="O63" s="626">
        <v>39.8</v>
      </c>
      <c r="P63" s="624"/>
      <c r="Q63" s="624"/>
      <c r="R63" s="627"/>
      <c r="S63" s="124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634"/>
      <c r="B64" s="645"/>
      <c r="C64" s="92" t="s">
        <v>171</v>
      </c>
      <c r="D64" s="93"/>
      <c r="E64" s="175"/>
      <c r="F64" s="176"/>
      <c r="G64" s="730">
        <v>33.08</v>
      </c>
      <c r="H64" s="731"/>
      <c r="I64" s="731"/>
      <c r="J64" s="732"/>
      <c r="K64" s="730">
        <v>32.1</v>
      </c>
      <c r="L64" s="731"/>
      <c r="M64" s="731"/>
      <c r="N64" s="732"/>
      <c r="O64" s="641">
        <v>32.9</v>
      </c>
      <c r="P64" s="639"/>
      <c r="Q64" s="639"/>
      <c r="R64" s="642"/>
      <c r="S64" s="124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BreakPreview" zoomScale="70" zoomScaleNormal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4.625" style="191" customWidth="1"/>
    <col min="2" max="2" width="4.50390625" style="191" customWidth="1"/>
    <col min="3" max="3" width="16.25390625" style="191" customWidth="1"/>
    <col min="4" max="4" width="5.75390625" style="191" customWidth="1"/>
    <col min="5" max="5" width="7.25390625" style="191" customWidth="1"/>
    <col min="6" max="6" width="6.25390625" style="192" customWidth="1"/>
    <col min="7" max="7" width="7.25390625" style="192" customWidth="1"/>
    <col min="8" max="8" width="1.875" style="192" customWidth="1"/>
    <col min="9" max="9" width="6.625" style="191" customWidth="1"/>
    <col min="10" max="10" width="2.25390625" style="191" customWidth="1"/>
    <col min="11" max="11" width="7.25390625" style="191" customWidth="1"/>
    <col min="12" max="12" width="1.75390625" style="191" customWidth="1"/>
    <col min="13" max="13" width="6.625" style="191" customWidth="1"/>
    <col min="14" max="14" width="2.125" style="191" customWidth="1"/>
    <col min="15" max="15" width="7.25390625" style="191" customWidth="1"/>
    <col min="16" max="16" width="2.25390625" style="191" customWidth="1"/>
    <col min="17" max="17" width="6.625" style="191" customWidth="1"/>
    <col min="18" max="19" width="1.875" style="191" customWidth="1"/>
    <col min="20" max="23" width="4.625" style="191" customWidth="1"/>
    <col min="24" max="24" width="21.625" style="191" customWidth="1"/>
    <col min="25" max="25" width="5.00390625" style="191" customWidth="1"/>
    <col min="26" max="28" width="18.50390625" style="191" customWidth="1"/>
    <col min="29" max="16384" width="9.00390625" style="191" customWidth="1"/>
  </cols>
  <sheetData>
    <row r="2" spans="18:28" ht="28.5" customHeight="1">
      <c r="R2" s="193" t="s">
        <v>228</v>
      </c>
      <c r="S2" s="194"/>
      <c r="AB2" s="195"/>
    </row>
    <row r="3" spans="18:28" ht="28.5" customHeight="1">
      <c r="R3" s="194"/>
      <c r="S3" s="194"/>
      <c r="AB3" s="195"/>
    </row>
    <row r="4" spans="1:28" ht="33.75" customHeight="1" thickBot="1">
      <c r="A4" s="810" t="s">
        <v>427</v>
      </c>
      <c r="B4" s="810"/>
      <c r="C4" s="810"/>
      <c r="D4" s="810"/>
      <c r="E4" s="810"/>
      <c r="F4" s="810"/>
      <c r="G4" s="810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 t="s">
        <v>229</v>
      </c>
    </row>
    <row r="5" spans="1:28" s="197" customFormat="1" ht="29.25" customHeight="1" thickBot="1">
      <c r="A5" s="198" t="s">
        <v>230</v>
      </c>
      <c r="B5" s="199"/>
      <c r="C5" s="199"/>
      <c r="D5" s="199"/>
      <c r="E5" s="199"/>
      <c r="F5" s="200"/>
      <c r="G5" s="811">
        <v>33786</v>
      </c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2"/>
      <c r="S5" s="201"/>
      <c r="T5" s="202" t="s">
        <v>231</v>
      </c>
      <c r="U5" s="199"/>
      <c r="V5" s="199"/>
      <c r="W5" s="199"/>
      <c r="X5" s="199"/>
      <c r="Y5" s="203" t="s">
        <v>232</v>
      </c>
      <c r="Z5" s="204" t="s">
        <v>233</v>
      </c>
      <c r="AA5" s="205" t="s">
        <v>234</v>
      </c>
      <c r="AB5" s="206" t="s">
        <v>235</v>
      </c>
    </row>
    <row r="6" spans="1:28" s="197" customFormat="1" ht="29.25" customHeight="1" thickBot="1">
      <c r="A6" s="198" t="s">
        <v>236</v>
      </c>
      <c r="B6" s="199"/>
      <c r="C6" s="199"/>
      <c r="D6" s="199"/>
      <c r="E6" s="199"/>
      <c r="F6" s="200"/>
      <c r="G6" s="811">
        <v>34060</v>
      </c>
      <c r="H6" s="811"/>
      <c r="I6" s="811"/>
      <c r="J6" s="811"/>
      <c r="K6" s="811"/>
      <c r="L6" s="813" t="s">
        <v>237</v>
      </c>
      <c r="M6" s="813"/>
      <c r="N6" s="813"/>
      <c r="O6" s="207">
        <v>7</v>
      </c>
      <c r="P6" s="208" t="s">
        <v>238</v>
      </c>
      <c r="Q6" s="209">
        <v>1</v>
      </c>
      <c r="R6" s="210" t="s">
        <v>206</v>
      </c>
      <c r="S6" s="211"/>
      <c r="T6" s="753" t="s">
        <v>239</v>
      </c>
      <c r="U6" s="212" t="s">
        <v>240</v>
      </c>
      <c r="V6" s="213"/>
      <c r="W6" s="213"/>
      <c r="X6" s="214"/>
      <c r="Y6" s="215" t="s">
        <v>241</v>
      </c>
      <c r="Z6" s="216">
        <v>439742</v>
      </c>
      <c r="AA6" s="217">
        <v>433327</v>
      </c>
      <c r="AB6" s="218">
        <v>425623</v>
      </c>
    </row>
    <row r="7" spans="1:28" s="197" customFormat="1" ht="29.25" customHeight="1" thickBot="1">
      <c r="A7" s="198" t="s">
        <v>242</v>
      </c>
      <c r="B7" s="199"/>
      <c r="C7" s="199"/>
      <c r="D7" s="199"/>
      <c r="E7" s="199"/>
      <c r="F7" s="219"/>
      <c r="G7" s="814" t="s">
        <v>243</v>
      </c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5"/>
      <c r="S7" s="220"/>
      <c r="T7" s="754"/>
      <c r="U7" s="801" t="s">
        <v>244</v>
      </c>
      <c r="V7" s="221" t="s">
        <v>245</v>
      </c>
      <c r="W7" s="221"/>
      <c r="X7" s="222"/>
      <c r="Y7" s="223" t="s">
        <v>246</v>
      </c>
      <c r="Z7" s="224">
        <v>439324</v>
      </c>
      <c r="AA7" s="225">
        <v>433308</v>
      </c>
      <c r="AB7" s="226">
        <f>AB8+AB12</f>
        <v>425623</v>
      </c>
    </row>
    <row r="8" spans="1:28" s="234" customFormat="1" ht="39" customHeight="1" thickBot="1">
      <c r="A8" s="227" t="s">
        <v>247</v>
      </c>
      <c r="B8" s="228"/>
      <c r="C8" s="228"/>
      <c r="D8" s="228"/>
      <c r="E8" s="228"/>
      <c r="F8" s="229"/>
      <c r="G8" s="802" t="s">
        <v>248</v>
      </c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4"/>
      <c r="S8" s="230"/>
      <c r="T8" s="754"/>
      <c r="U8" s="791"/>
      <c r="V8" s="770" t="s">
        <v>244</v>
      </c>
      <c r="W8" s="231" t="s">
        <v>249</v>
      </c>
      <c r="X8" s="232"/>
      <c r="Y8" s="233" t="s">
        <v>250</v>
      </c>
      <c r="Z8" s="224">
        <v>87800</v>
      </c>
      <c r="AA8" s="225">
        <v>99990</v>
      </c>
      <c r="AB8" s="226">
        <v>107000</v>
      </c>
    </row>
    <row r="9" spans="1:28" s="234" customFormat="1" ht="29.25" customHeight="1" thickBot="1">
      <c r="A9" s="202" t="s">
        <v>231</v>
      </c>
      <c r="B9" s="199"/>
      <c r="C9" s="199"/>
      <c r="D9" s="199"/>
      <c r="E9" s="199"/>
      <c r="F9" s="203" t="s">
        <v>232</v>
      </c>
      <c r="G9" s="805" t="s">
        <v>233</v>
      </c>
      <c r="H9" s="806"/>
      <c r="I9" s="806"/>
      <c r="J9" s="807"/>
      <c r="K9" s="808" t="s">
        <v>234</v>
      </c>
      <c r="L9" s="806"/>
      <c r="M9" s="806"/>
      <c r="N9" s="807"/>
      <c r="O9" s="808" t="s">
        <v>235</v>
      </c>
      <c r="P9" s="806"/>
      <c r="Q9" s="806"/>
      <c r="R9" s="809"/>
      <c r="S9" s="220"/>
      <c r="T9" s="754"/>
      <c r="U9" s="791"/>
      <c r="V9" s="782"/>
      <c r="W9" s="790" t="s">
        <v>251</v>
      </c>
      <c r="X9" s="232" t="s">
        <v>252</v>
      </c>
      <c r="Y9" s="233"/>
      <c r="Z9" s="224"/>
      <c r="AA9" s="225"/>
      <c r="AB9" s="226"/>
    </row>
    <row r="10" spans="1:28" s="234" customFormat="1" ht="29.25" customHeight="1">
      <c r="A10" s="753" t="s">
        <v>253</v>
      </c>
      <c r="B10" s="235" t="s">
        <v>254</v>
      </c>
      <c r="C10" s="236"/>
      <c r="D10" s="236"/>
      <c r="E10" s="236"/>
      <c r="F10" s="237" t="s">
        <v>255</v>
      </c>
      <c r="G10" s="238">
        <v>200</v>
      </c>
      <c r="H10" s="239" t="s">
        <v>205</v>
      </c>
      <c r="I10" s="240">
        <v>200</v>
      </c>
      <c r="J10" s="241" t="s">
        <v>206</v>
      </c>
      <c r="K10" s="242">
        <v>200</v>
      </c>
      <c r="L10" s="243" t="s">
        <v>205</v>
      </c>
      <c r="M10" s="238">
        <v>200</v>
      </c>
      <c r="N10" s="241" t="s">
        <v>206</v>
      </c>
      <c r="O10" s="242">
        <v>200</v>
      </c>
      <c r="P10" s="243" t="s">
        <v>205</v>
      </c>
      <c r="Q10" s="238">
        <v>200</v>
      </c>
      <c r="R10" s="215" t="s">
        <v>206</v>
      </c>
      <c r="S10" s="244"/>
      <c r="T10" s="754"/>
      <c r="U10" s="791"/>
      <c r="V10" s="782"/>
      <c r="W10" s="790"/>
      <c r="X10" s="232" t="s">
        <v>256</v>
      </c>
      <c r="Y10" s="233"/>
      <c r="Z10" s="224"/>
      <c r="AA10" s="225"/>
      <c r="AB10" s="226"/>
    </row>
    <row r="11" spans="1:28" s="234" customFormat="1" ht="29.25" customHeight="1">
      <c r="A11" s="754"/>
      <c r="B11" s="791" t="s">
        <v>257</v>
      </c>
      <c r="C11" s="245" t="s">
        <v>258</v>
      </c>
      <c r="D11" s="246"/>
      <c r="E11" s="246"/>
      <c r="F11" s="247"/>
      <c r="G11" s="248">
        <v>200</v>
      </c>
      <c r="H11" s="249" t="s">
        <v>205</v>
      </c>
      <c r="I11" s="250">
        <v>200</v>
      </c>
      <c r="J11" s="251" t="s">
        <v>259</v>
      </c>
      <c r="K11" s="252">
        <v>200</v>
      </c>
      <c r="L11" s="253" t="s">
        <v>205</v>
      </c>
      <c r="M11" s="248">
        <v>200</v>
      </c>
      <c r="N11" s="251" t="s">
        <v>206</v>
      </c>
      <c r="O11" s="252">
        <v>200</v>
      </c>
      <c r="P11" s="253" t="s">
        <v>205</v>
      </c>
      <c r="Q11" s="248">
        <v>200</v>
      </c>
      <c r="R11" s="223" t="s">
        <v>206</v>
      </c>
      <c r="S11" s="244"/>
      <c r="T11" s="754"/>
      <c r="U11" s="791"/>
      <c r="V11" s="782"/>
      <c r="W11" s="790"/>
      <c r="X11" s="232" t="s">
        <v>260</v>
      </c>
      <c r="Y11" s="233"/>
      <c r="Z11" s="224">
        <v>87800</v>
      </c>
      <c r="AA11" s="225">
        <v>99990</v>
      </c>
      <c r="AB11" s="226">
        <v>107000</v>
      </c>
    </row>
    <row r="12" spans="1:28" s="234" customFormat="1" ht="29.25" customHeight="1">
      <c r="A12" s="754"/>
      <c r="B12" s="791"/>
      <c r="C12" s="245" t="s">
        <v>261</v>
      </c>
      <c r="D12" s="246"/>
      <c r="E12" s="246"/>
      <c r="F12" s="247"/>
      <c r="G12" s="248"/>
      <c r="H12" s="249" t="s">
        <v>205</v>
      </c>
      <c r="I12" s="250"/>
      <c r="J12" s="254" t="s">
        <v>206</v>
      </c>
      <c r="K12" s="252"/>
      <c r="L12" s="253" t="s">
        <v>205</v>
      </c>
      <c r="M12" s="248"/>
      <c r="N12" s="251" t="s">
        <v>206</v>
      </c>
      <c r="O12" s="252"/>
      <c r="P12" s="253" t="s">
        <v>205</v>
      </c>
      <c r="Q12" s="248"/>
      <c r="R12" s="223" t="s">
        <v>206</v>
      </c>
      <c r="S12" s="244"/>
      <c r="T12" s="754"/>
      <c r="U12" s="791"/>
      <c r="V12" s="782"/>
      <c r="W12" s="231" t="s">
        <v>262</v>
      </c>
      <c r="X12" s="232"/>
      <c r="Y12" s="233" t="s">
        <v>263</v>
      </c>
      <c r="Z12" s="224">
        <v>351524</v>
      </c>
      <c r="AA12" s="225">
        <v>333318</v>
      </c>
      <c r="AB12" s="226">
        <v>318623</v>
      </c>
    </row>
    <row r="13" spans="1:28" s="234" customFormat="1" ht="29.25" customHeight="1">
      <c r="A13" s="754"/>
      <c r="B13" s="791"/>
      <c r="C13" s="232" t="s">
        <v>264</v>
      </c>
      <c r="D13" s="255"/>
      <c r="E13" s="255"/>
      <c r="F13" s="237"/>
      <c r="G13" s="248"/>
      <c r="H13" s="249" t="s">
        <v>205</v>
      </c>
      <c r="I13" s="250"/>
      <c r="J13" s="254" t="s">
        <v>206</v>
      </c>
      <c r="K13" s="252"/>
      <c r="L13" s="253" t="s">
        <v>205</v>
      </c>
      <c r="M13" s="248"/>
      <c r="N13" s="251" t="s">
        <v>206</v>
      </c>
      <c r="O13" s="252"/>
      <c r="P13" s="253" t="s">
        <v>205</v>
      </c>
      <c r="Q13" s="248"/>
      <c r="R13" s="223" t="s">
        <v>206</v>
      </c>
      <c r="S13" s="244"/>
      <c r="T13" s="754"/>
      <c r="U13" s="791"/>
      <c r="V13" s="771"/>
      <c r="W13" s="256" t="s">
        <v>251</v>
      </c>
      <c r="X13" s="232" t="s">
        <v>265</v>
      </c>
      <c r="Y13" s="233"/>
      <c r="Z13" s="224">
        <v>182776</v>
      </c>
      <c r="AA13" s="225">
        <v>162088</v>
      </c>
      <c r="AB13" s="226">
        <f>40939+113356</f>
        <v>154295</v>
      </c>
    </row>
    <row r="14" spans="1:28" s="234" customFormat="1" ht="29.25" customHeight="1">
      <c r="A14" s="754"/>
      <c r="B14" s="791"/>
      <c r="C14" s="232" t="s">
        <v>266</v>
      </c>
      <c r="D14" s="255"/>
      <c r="E14" s="255"/>
      <c r="F14" s="237"/>
      <c r="G14" s="248"/>
      <c r="H14" s="249" t="s">
        <v>205</v>
      </c>
      <c r="I14" s="250"/>
      <c r="J14" s="254" t="s">
        <v>206</v>
      </c>
      <c r="K14" s="252"/>
      <c r="L14" s="253" t="s">
        <v>205</v>
      </c>
      <c r="M14" s="248"/>
      <c r="N14" s="251" t="s">
        <v>206</v>
      </c>
      <c r="O14" s="252"/>
      <c r="P14" s="253" t="s">
        <v>205</v>
      </c>
      <c r="Q14" s="248"/>
      <c r="R14" s="223" t="s">
        <v>206</v>
      </c>
      <c r="S14" s="244"/>
      <c r="T14" s="754"/>
      <c r="U14" s="792"/>
      <c r="V14" s="231" t="s">
        <v>267</v>
      </c>
      <c r="W14" s="256"/>
      <c r="X14" s="257"/>
      <c r="Y14" s="233" t="s">
        <v>268</v>
      </c>
      <c r="Z14" s="224">
        <v>418</v>
      </c>
      <c r="AA14" s="225">
        <v>19</v>
      </c>
      <c r="AB14" s="226">
        <v>0</v>
      </c>
    </row>
    <row r="15" spans="1:28" s="234" customFormat="1" ht="29.25" customHeight="1">
      <c r="A15" s="754"/>
      <c r="B15" s="792"/>
      <c r="C15" s="232" t="s">
        <v>269</v>
      </c>
      <c r="D15" s="255"/>
      <c r="E15" s="255"/>
      <c r="F15" s="237"/>
      <c r="G15" s="258"/>
      <c r="H15" s="249" t="s">
        <v>205</v>
      </c>
      <c r="I15" s="250" t="s">
        <v>201</v>
      </c>
      <c r="J15" s="251" t="s">
        <v>206</v>
      </c>
      <c r="K15" s="252"/>
      <c r="L15" s="253" t="s">
        <v>205</v>
      </c>
      <c r="M15" s="248" t="s">
        <v>201</v>
      </c>
      <c r="N15" s="251" t="s">
        <v>206</v>
      </c>
      <c r="O15" s="252"/>
      <c r="P15" s="253" t="s">
        <v>205</v>
      </c>
      <c r="Q15" s="248" t="s">
        <v>201</v>
      </c>
      <c r="R15" s="223" t="s">
        <v>206</v>
      </c>
      <c r="S15" s="244"/>
      <c r="T15" s="754"/>
      <c r="U15" s="259" t="s">
        <v>270</v>
      </c>
      <c r="V15" s="231"/>
      <c r="W15" s="231"/>
      <c r="X15" s="232"/>
      <c r="Y15" s="233" t="s">
        <v>271</v>
      </c>
      <c r="Z15" s="224">
        <v>439742</v>
      </c>
      <c r="AA15" s="225">
        <v>420415</v>
      </c>
      <c r="AB15" s="226">
        <v>418137</v>
      </c>
    </row>
    <row r="16" spans="1:28" s="234" customFormat="1" ht="29.25" customHeight="1">
      <c r="A16" s="754"/>
      <c r="B16" s="260" t="s">
        <v>272</v>
      </c>
      <c r="C16" s="255"/>
      <c r="D16" s="255"/>
      <c r="E16" s="255"/>
      <c r="F16" s="237" t="s">
        <v>255</v>
      </c>
      <c r="G16" s="793">
        <v>30</v>
      </c>
      <c r="H16" s="793"/>
      <c r="I16" s="793"/>
      <c r="J16" s="794"/>
      <c r="K16" s="795">
        <v>30</v>
      </c>
      <c r="L16" s="793"/>
      <c r="M16" s="793"/>
      <c r="N16" s="794"/>
      <c r="O16" s="795">
        <v>30</v>
      </c>
      <c r="P16" s="793"/>
      <c r="Q16" s="793"/>
      <c r="R16" s="796"/>
      <c r="S16" s="261"/>
      <c r="T16" s="754"/>
      <c r="U16" s="745" t="s">
        <v>244</v>
      </c>
      <c r="V16" s="231" t="s">
        <v>273</v>
      </c>
      <c r="W16" s="231"/>
      <c r="X16" s="232"/>
      <c r="Y16" s="233" t="s">
        <v>274</v>
      </c>
      <c r="Z16" s="224">
        <v>439742</v>
      </c>
      <c r="AA16" s="225">
        <v>420415</v>
      </c>
      <c r="AB16" s="226">
        <f>AB17+AB21</f>
        <v>418137</v>
      </c>
    </row>
    <row r="17" spans="1:28" s="234" customFormat="1" ht="29.25" customHeight="1">
      <c r="A17" s="754"/>
      <c r="B17" s="260" t="s">
        <v>275</v>
      </c>
      <c r="C17" s="255"/>
      <c r="D17" s="255"/>
      <c r="E17" s="255"/>
      <c r="F17" s="237" t="s">
        <v>255</v>
      </c>
      <c r="G17" s="797">
        <v>4</v>
      </c>
      <c r="H17" s="797"/>
      <c r="I17" s="797"/>
      <c r="J17" s="798"/>
      <c r="K17" s="799">
        <v>4</v>
      </c>
      <c r="L17" s="797"/>
      <c r="M17" s="797"/>
      <c r="N17" s="798"/>
      <c r="O17" s="799">
        <v>4</v>
      </c>
      <c r="P17" s="797"/>
      <c r="Q17" s="797"/>
      <c r="R17" s="800"/>
      <c r="S17" s="261"/>
      <c r="T17" s="754"/>
      <c r="U17" s="746"/>
      <c r="V17" s="770" t="s">
        <v>244</v>
      </c>
      <c r="W17" s="231" t="s">
        <v>276</v>
      </c>
      <c r="X17" s="232"/>
      <c r="Y17" s="233" t="s">
        <v>277</v>
      </c>
      <c r="Z17" s="224">
        <v>363877</v>
      </c>
      <c r="AA17" s="225">
        <v>349405</v>
      </c>
      <c r="AB17" s="226">
        <v>352168</v>
      </c>
    </row>
    <row r="18" spans="1:28" s="234" customFormat="1" ht="29.25" customHeight="1">
      <c r="A18" s="754"/>
      <c r="B18" s="260" t="s">
        <v>278</v>
      </c>
      <c r="C18" s="255"/>
      <c r="D18" s="255"/>
      <c r="E18" s="255"/>
      <c r="F18" s="237" t="s">
        <v>279</v>
      </c>
      <c r="G18" s="783">
        <v>10927</v>
      </c>
      <c r="H18" s="783"/>
      <c r="I18" s="783"/>
      <c r="J18" s="784"/>
      <c r="K18" s="785">
        <v>10927</v>
      </c>
      <c r="L18" s="783"/>
      <c r="M18" s="783"/>
      <c r="N18" s="784"/>
      <c r="O18" s="785">
        <v>12121</v>
      </c>
      <c r="P18" s="783"/>
      <c r="Q18" s="783"/>
      <c r="R18" s="786"/>
      <c r="S18" s="262"/>
      <c r="T18" s="754"/>
      <c r="U18" s="746"/>
      <c r="V18" s="782"/>
      <c r="W18" s="770" t="s">
        <v>251</v>
      </c>
      <c r="X18" s="232" t="s">
        <v>280</v>
      </c>
      <c r="Y18" s="233"/>
      <c r="Z18" s="224">
        <v>18567</v>
      </c>
      <c r="AA18" s="225">
        <v>19048</v>
      </c>
      <c r="AB18" s="226">
        <v>20085</v>
      </c>
    </row>
    <row r="19" spans="1:28" s="234" customFormat="1" ht="29.25" customHeight="1" thickBot="1">
      <c r="A19" s="755"/>
      <c r="B19" s="263" t="s">
        <v>281</v>
      </c>
      <c r="C19" s="264"/>
      <c r="D19" s="264"/>
      <c r="E19" s="264"/>
      <c r="F19" s="265" t="s">
        <v>282</v>
      </c>
      <c r="G19" s="266"/>
      <c r="H19" s="267" t="s">
        <v>205</v>
      </c>
      <c r="I19" s="268" t="s">
        <v>201</v>
      </c>
      <c r="J19" s="269" t="s">
        <v>283</v>
      </c>
      <c r="K19" s="270"/>
      <c r="L19" s="267" t="s">
        <v>205</v>
      </c>
      <c r="M19" s="268" t="s">
        <v>201</v>
      </c>
      <c r="N19" s="269" t="s">
        <v>283</v>
      </c>
      <c r="O19" s="270"/>
      <c r="P19" s="267" t="s">
        <v>205</v>
      </c>
      <c r="Q19" s="268" t="s">
        <v>201</v>
      </c>
      <c r="R19" s="271" t="s">
        <v>283</v>
      </c>
      <c r="S19" s="272"/>
      <c r="T19" s="754"/>
      <c r="U19" s="746"/>
      <c r="V19" s="782"/>
      <c r="W19" s="782"/>
      <c r="X19" s="232" t="s">
        <v>284</v>
      </c>
      <c r="Y19" s="233"/>
      <c r="Z19" s="224"/>
      <c r="AA19" s="225">
        <v>0</v>
      </c>
      <c r="AB19" s="226"/>
    </row>
    <row r="20" spans="1:28" s="234" customFormat="1" ht="29.25" customHeight="1">
      <c r="A20" s="753" t="s">
        <v>285</v>
      </c>
      <c r="B20" s="273" t="s">
        <v>286</v>
      </c>
      <c r="C20" s="236"/>
      <c r="D20" s="236"/>
      <c r="E20" s="236"/>
      <c r="F20" s="274" t="s">
        <v>287</v>
      </c>
      <c r="G20" s="250">
        <v>278.5</v>
      </c>
      <c r="H20" s="275" t="s">
        <v>205</v>
      </c>
      <c r="I20" s="276">
        <v>139.25</v>
      </c>
      <c r="J20" s="277" t="s">
        <v>206</v>
      </c>
      <c r="K20" s="278">
        <v>263</v>
      </c>
      <c r="L20" s="279" t="s">
        <v>205</v>
      </c>
      <c r="M20" s="276">
        <v>131.5</v>
      </c>
      <c r="N20" s="277" t="s">
        <v>206</v>
      </c>
      <c r="O20" s="278">
        <v>280</v>
      </c>
      <c r="P20" s="279" t="s">
        <v>205</v>
      </c>
      <c r="Q20" s="276">
        <f>O20/O10*100</f>
        <v>140</v>
      </c>
      <c r="R20" s="280" t="s">
        <v>206</v>
      </c>
      <c r="S20" s="261"/>
      <c r="T20" s="754"/>
      <c r="U20" s="746"/>
      <c r="V20" s="782"/>
      <c r="W20" s="771"/>
      <c r="X20" s="232" t="s">
        <v>288</v>
      </c>
      <c r="Y20" s="233"/>
      <c r="Z20" s="224">
        <v>96483</v>
      </c>
      <c r="AA20" s="225">
        <v>88300</v>
      </c>
      <c r="AB20" s="226">
        <v>83731</v>
      </c>
    </row>
    <row r="21" spans="1:28" s="234" customFormat="1" ht="29.25" customHeight="1">
      <c r="A21" s="754"/>
      <c r="B21" s="787" t="s">
        <v>289</v>
      </c>
      <c r="C21" s="232" t="s">
        <v>290</v>
      </c>
      <c r="D21" s="255"/>
      <c r="E21" s="255"/>
      <c r="F21" s="237"/>
      <c r="G21" s="250">
        <v>37</v>
      </c>
      <c r="H21" s="275" t="s">
        <v>205</v>
      </c>
      <c r="I21" s="281">
        <v>18.5</v>
      </c>
      <c r="J21" s="277" t="s">
        <v>206</v>
      </c>
      <c r="K21" s="278">
        <v>38</v>
      </c>
      <c r="L21" s="279" t="s">
        <v>205</v>
      </c>
      <c r="M21" s="281">
        <v>19</v>
      </c>
      <c r="N21" s="277" t="s">
        <v>206</v>
      </c>
      <c r="O21" s="278">
        <v>35</v>
      </c>
      <c r="P21" s="279" t="s">
        <v>205</v>
      </c>
      <c r="Q21" s="281">
        <f>O21/O10*100</f>
        <v>17.5</v>
      </c>
      <c r="R21" s="280" t="s">
        <v>206</v>
      </c>
      <c r="S21" s="261"/>
      <c r="T21" s="754"/>
      <c r="U21" s="746"/>
      <c r="V21" s="782"/>
      <c r="W21" s="231" t="s">
        <v>291</v>
      </c>
      <c r="X21" s="232"/>
      <c r="Y21" s="233" t="s">
        <v>292</v>
      </c>
      <c r="Z21" s="224">
        <v>75865</v>
      </c>
      <c r="AA21" s="225">
        <v>71010</v>
      </c>
      <c r="AB21" s="226">
        <v>65969</v>
      </c>
    </row>
    <row r="22" spans="1:28" s="234" customFormat="1" ht="29.25" customHeight="1">
      <c r="A22" s="754"/>
      <c r="B22" s="788"/>
      <c r="C22" s="232" t="s">
        <v>293</v>
      </c>
      <c r="D22" s="255"/>
      <c r="E22" s="255"/>
      <c r="F22" s="237"/>
      <c r="G22" s="250">
        <v>145</v>
      </c>
      <c r="H22" s="275" t="s">
        <v>205</v>
      </c>
      <c r="I22" s="281">
        <v>72.5</v>
      </c>
      <c r="J22" s="277" t="s">
        <v>206</v>
      </c>
      <c r="K22" s="278">
        <v>128</v>
      </c>
      <c r="L22" s="279" t="s">
        <v>205</v>
      </c>
      <c r="M22" s="281">
        <v>64</v>
      </c>
      <c r="N22" s="277" t="s">
        <v>206</v>
      </c>
      <c r="O22" s="278">
        <f>131+6+15</f>
        <v>152</v>
      </c>
      <c r="P22" s="279" t="s">
        <v>205</v>
      </c>
      <c r="Q22" s="281">
        <f>O22/O10*100</f>
        <v>76</v>
      </c>
      <c r="R22" s="280" t="s">
        <v>206</v>
      </c>
      <c r="S22" s="261"/>
      <c r="T22" s="754"/>
      <c r="U22" s="746"/>
      <c r="V22" s="771"/>
      <c r="W22" s="256" t="s">
        <v>251</v>
      </c>
      <c r="X22" s="232" t="s">
        <v>294</v>
      </c>
      <c r="Y22" s="233"/>
      <c r="Z22" s="224">
        <v>75865</v>
      </c>
      <c r="AA22" s="225">
        <v>71010</v>
      </c>
      <c r="AB22" s="226">
        <v>65969</v>
      </c>
    </row>
    <row r="23" spans="1:28" s="234" customFormat="1" ht="29.25" customHeight="1" thickBot="1">
      <c r="A23" s="754"/>
      <c r="B23" s="789"/>
      <c r="C23" s="282" t="s">
        <v>295</v>
      </c>
      <c r="D23" s="283"/>
      <c r="E23" s="283"/>
      <c r="F23" s="284"/>
      <c r="G23" s="285">
        <v>42.5</v>
      </c>
      <c r="H23" s="267" t="s">
        <v>205</v>
      </c>
      <c r="I23" s="286">
        <v>21.25</v>
      </c>
      <c r="J23" s="287" t="s">
        <v>206</v>
      </c>
      <c r="K23" s="288">
        <v>40</v>
      </c>
      <c r="L23" s="289" t="s">
        <v>205</v>
      </c>
      <c r="M23" s="286">
        <v>20</v>
      </c>
      <c r="N23" s="287" t="s">
        <v>206</v>
      </c>
      <c r="O23" s="288">
        <v>35</v>
      </c>
      <c r="P23" s="289" t="s">
        <v>205</v>
      </c>
      <c r="Q23" s="286">
        <f>O23/O10*100</f>
        <v>17.5</v>
      </c>
      <c r="R23" s="271" t="s">
        <v>206</v>
      </c>
      <c r="S23" s="261"/>
      <c r="T23" s="754"/>
      <c r="U23" s="752"/>
      <c r="V23" s="231" t="s">
        <v>296</v>
      </c>
      <c r="W23" s="231"/>
      <c r="X23" s="232"/>
      <c r="Y23" s="233" t="s">
        <v>297</v>
      </c>
      <c r="Z23" s="224">
        <v>0</v>
      </c>
      <c r="AA23" s="225"/>
      <c r="AB23" s="226"/>
    </row>
    <row r="24" spans="1:28" s="234" customFormat="1" ht="29.25" customHeight="1">
      <c r="A24" s="756" t="s">
        <v>298</v>
      </c>
      <c r="B24" s="246" t="s">
        <v>299</v>
      </c>
      <c r="C24" s="246"/>
      <c r="D24" s="246"/>
      <c r="E24" s="246"/>
      <c r="F24" s="247" t="s">
        <v>300</v>
      </c>
      <c r="G24" s="816">
        <v>74.724043715847</v>
      </c>
      <c r="H24" s="816"/>
      <c r="I24" s="816"/>
      <c r="J24" s="817"/>
      <c r="K24" s="818">
        <v>72.8575342465753</v>
      </c>
      <c r="L24" s="816"/>
      <c r="M24" s="816"/>
      <c r="N24" s="817"/>
      <c r="O24" s="818">
        <f>O30/(O10*365)*100</f>
        <v>68.97534246575341</v>
      </c>
      <c r="P24" s="816"/>
      <c r="Q24" s="816"/>
      <c r="R24" s="819"/>
      <c r="S24" s="261"/>
      <c r="T24" s="754"/>
      <c r="U24" s="259" t="s">
        <v>301</v>
      </c>
      <c r="V24" s="231"/>
      <c r="W24" s="231"/>
      <c r="X24" s="232"/>
      <c r="Y24" s="233"/>
      <c r="Z24" s="603">
        <v>-418</v>
      </c>
      <c r="AA24" s="290">
        <v>12893</v>
      </c>
      <c r="AB24" s="291">
        <f>AB7-AB16</f>
        <v>7486</v>
      </c>
    </row>
    <row r="25" spans="1:28" s="234" customFormat="1" ht="29.25" customHeight="1" thickBot="1">
      <c r="A25" s="757"/>
      <c r="B25" s="255" t="s">
        <v>302</v>
      </c>
      <c r="C25" s="255"/>
      <c r="D25" s="255"/>
      <c r="E25" s="255"/>
      <c r="F25" s="237" t="s">
        <v>300</v>
      </c>
      <c r="G25" s="748">
        <v>74.7</v>
      </c>
      <c r="H25" s="748"/>
      <c r="I25" s="748"/>
      <c r="J25" s="749"/>
      <c r="K25" s="750">
        <v>72.9</v>
      </c>
      <c r="L25" s="748"/>
      <c r="M25" s="748"/>
      <c r="N25" s="749"/>
      <c r="O25" s="750">
        <f>50352/73000*100</f>
        <v>68.97534246575341</v>
      </c>
      <c r="P25" s="748"/>
      <c r="Q25" s="748"/>
      <c r="R25" s="751"/>
      <c r="S25" s="261"/>
      <c r="T25" s="755"/>
      <c r="U25" s="292" t="s">
        <v>303</v>
      </c>
      <c r="V25" s="293"/>
      <c r="W25" s="293"/>
      <c r="X25" s="282"/>
      <c r="Y25" s="294"/>
      <c r="Z25" s="295">
        <v>0</v>
      </c>
      <c r="AA25" s="296">
        <v>12912</v>
      </c>
      <c r="AB25" s="297">
        <f>AB6-AB15</f>
        <v>7486</v>
      </c>
    </row>
    <row r="26" spans="1:28" s="234" customFormat="1" ht="29.25" customHeight="1">
      <c r="A26" s="757"/>
      <c r="B26" s="255" t="s">
        <v>304</v>
      </c>
      <c r="C26" s="255"/>
      <c r="D26" s="255"/>
      <c r="E26" s="255"/>
      <c r="F26" s="247" t="s">
        <v>300</v>
      </c>
      <c r="G26" s="748">
        <v>74.7</v>
      </c>
      <c r="H26" s="748"/>
      <c r="I26" s="748"/>
      <c r="J26" s="749"/>
      <c r="K26" s="750">
        <v>72.9</v>
      </c>
      <c r="L26" s="748"/>
      <c r="M26" s="748"/>
      <c r="N26" s="749"/>
      <c r="O26" s="750">
        <f>50352/73000*100</f>
        <v>68.97534246575341</v>
      </c>
      <c r="P26" s="748"/>
      <c r="Q26" s="748"/>
      <c r="R26" s="751"/>
      <c r="S26" s="261"/>
      <c r="T26" s="753" t="s">
        <v>305</v>
      </c>
      <c r="U26" s="236" t="s">
        <v>306</v>
      </c>
      <c r="V26" s="236"/>
      <c r="W26" s="236"/>
      <c r="X26" s="236"/>
      <c r="Y26" s="298" t="s">
        <v>307</v>
      </c>
      <c r="Z26" s="216">
        <v>87505</v>
      </c>
      <c r="AA26" s="217">
        <v>90741</v>
      </c>
      <c r="AB26" s="218">
        <v>87337</v>
      </c>
    </row>
    <row r="27" spans="1:28" s="234" customFormat="1" ht="29.25" customHeight="1">
      <c r="A27" s="757"/>
      <c r="B27" s="255" t="s">
        <v>308</v>
      </c>
      <c r="C27" s="255"/>
      <c r="D27" s="255"/>
      <c r="E27" s="255"/>
      <c r="F27" s="237" t="s">
        <v>309</v>
      </c>
      <c r="G27" s="748">
        <v>16.1</v>
      </c>
      <c r="H27" s="748"/>
      <c r="I27" s="748"/>
      <c r="J27" s="749"/>
      <c r="K27" s="750">
        <v>15.5</v>
      </c>
      <c r="L27" s="748"/>
      <c r="M27" s="748"/>
      <c r="N27" s="749"/>
      <c r="O27" s="750">
        <v>14.8</v>
      </c>
      <c r="P27" s="748"/>
      <c r="Q27" s="748"/>
      <c r="R27" s="751"/>
      <c r="S27" s="261"/>
      <c r="T27" s="754"/>
      <c r="U27" s="745" t="s">
        <v>251</v>
      </c>
      <c r="V27" s="231" t="s">
        <v>310</v>
      </c>
      <c r="W27" s="231"/>
      <c r="X27" s="232"/>
      <c r="Y27" s="233"/>
      <c r="Z27" s="224"/>
      <c r="AA27" s="225"/>
      <c r="AB27" s="226"/>
    </row>
    <row r="28" spans="1:28" s="234" customFormat="1" ht="29.25" customHeight="1">
      <c r="A28" s="757"/>
      <c r="B28" s="780" t="s">
        <v>311</v>
      </c>
      <c r="C28" s="780"/>
      <c r="D28" s="299"/>
      <c r="E28" s="300" t="s">
        <v>312</v>
      </c>
      <c r="F28" s="237"/>
      <c r="G28" s="772">
        <v>149.4</v>
      </c>
      <c r="H28" s="772"/>
      <c r="I28" s="772"/>
      <c r="J28" s="773"/>
      <c r="K28" s="774">
        <v>146</v>
      </c>
      <c r="L28" s="772"/>
      <c r="M28" s="772"/>
      <c r="N28" s="773"/>
      <c r="O28" s="774">
        <f>O30/365</f>
        <v>137.95068493150686</v>
      </c>
      <c r="P28" s="772"/>
      <c r="Q28" s="772"/>
      <c r="R28" s="775"/>
      <c r="S28" s="261"/>
      <c r="T28" s="754"/>
      <c r="U28" s="752"/>
      <c r="V28" s="231" t="s">
        <v>265</v>
      </c>
      <c r="W28" s="231"/>
      <c r="X28" s="232"/>
      <c r="Y28" s="233"/>
      <c r="Z28" s="224">
        <v>87505</v>
      </c>
      <c r="AA28" s="225">
        <v>90741</v>
      </c>
      <c r="AB28" s="226">
        <v>87337</v>
      </c>
    </row>
    <row r="29" spans="1:28" s="234" customFormat="1" ht="29.25" customHeight="1">
      <c r="A29" s="757"/>
      <c r="B29" s="781"/>
      <c r="C29" s="781"/>
      <c r="D29" s="301" t="s">
        <v>287</v>
      </c>
      <c r="E29" s="300" t="s">
        <v>313</v>
      </c>
      <c r="F29" s="237"/>
      <c r="G29" s="772">
        <v>556.1</v>
      </c>
      <c r="H29" s="772"/>
      <c r="I29" s="772"/>
      <c r="J29" s="773"/>
      <c r="K29" s="774">
        <v>562</v>
      </c>
      <c r="L29" s="772"/>
      <c r="M29" s="772"/>
      <c r="N29" s="773"/>
      <c r="O29" s="774">
        <f>O31/294</f>
        <v>528.2448979591836</v>
      </c>
      <c r="P29" s="772"/>
      <c r="Q29" s="772"/>
      <c r="R29" s="775"/>
      <c r="S29" s="261"/>
      <c r="T29" s="754"/>
      <c r="U29" s="255" t="s">
        <v>314</v>
      </c>
      <c r="V29" s="255"/>
      <c r="W29" s="255"/>
      <c r="X29" s="255"/>
      <c r="Y29" s="233" t="s">
        <v>315</v>
      </c>
      <c r="Z29" s="224">
        <v>131258</v>
      </c>
      <c r="AA29" s="225">
        <v>172332</v>
      </c>
      <c r="AB29" s="226">
        <f>AB30+AB31</f>
        <v>210667</v>
      </c>
    </row>
    <row r="30" spans="1:28" s="234" customFormat="1" ht="29.25" customHeight="1">
      <c r="A30" s="757"/>
      <c r="B30" s="780" t="s">
        <v>316</v>
      </c>
      <c r="C30" s="780"/>
      <c r="D30" s="302"/>
      <c r="E30" s="300" t="s">
        <v>312</v>
      </c>
      <c r="F30" s="237"/>
      <c r="G30" s="776">
        <v>54698</v>
      </c>
      <c r="H30" s="776"/>
      <c r="I30" s="776"/>
      <c r="J30" s="777"/>
      <c r="K30" s="778">
        <v>53186</v>
      </c>
      <c r="L30" s="776"/>
      <c r="M30" s="776"/>
      <c r="N30" s="777"/>
      <c r="O30" s="778">
        <v>50352</v>
      </c>
      <c r="P30" s="776"/>
      <c r="Q30" s="776"/>
      <c r="R30" s="779"/>
      <c r="S30" s="261"/>
      <c r="T30" s="754"/>
      <c r="U30" s="745" t="s">
        <v>251</v>
      </c>
      <c r="V30" s="231" t="s">
        <v>317</v>
      </c>
      <c r="W30" s="231"/>
      <c r="X30" s="232"/>
      <c r="Y30" s="233"/>
      <c r="Z30" s="224">
        <v>0</v>
      </c>
      <c r="AA30" s="225">
        <v>36219</v>
      </c>
      <c r="AB30" s="226">
        <v>79660</v>
      </c>
    </row>
    <row r="31" spans="1:28" s="234" customFormat="1" ht="29.25" customHeight="1">
      <c r="A31" s="757"/>
      <c r="B31" s="781"/>
      <c r="C31" s="781"/>
      <c r="D31" s="301" t="s">
        <v>287</v>
      </c>
      <c r="E31" s="300" t="s">
        <v>313</v>
      </c>
      <c r="F31" s="237"/>
      <c r="G31" s="776">
        <v>164035</v>
      </c>
      <c r="H31" s="776"/>
      <c r="I31" s="776"/>
      <c r="J31" s="777"/>
      <c r="K31" s="778">
        <v>164787</v>
      </c>
      <c r="L31" s="776"/>
      <c r="M31" s="776"/>
      <c r="N31" s="777"/>
      <c r="O31" s="778">
        <v>155304</v>
      </c>
      <c r="P31" s="776"/>
      <c r="Q31" s="776"/>
      <c r="R31" s="779"/>
      <c r="S31" s="261"/>
      <c r="T31" s="754"/>
      <c r="U31" s="752"/>
      <c r="V31" s="231" t="s">
        <v>318</v>
      </c>
      <c r="W31" s="231"/>
      <c r="X31" s="232"/>
      <c r="Y31" s="233"/>
      <c r="Z31" s="224">
        <v>131258</v>
      </c>
      <c r="AA31" s="225">
        <v>136113</v>
      </c>
      <c r="AB31" s="226">
        <v>131007</v>
      </c>
    </row>
    <row r="32" spans="1:28" s="234" customFormat="1" ht="29.25" customHeight="1">
      <c r="A32" s="757"/>
      <c r="B32" s="255" t="s">
        <v>319</v>
      </c>
      <c r="C32" s="255"/>
      <c r="D32" s="255"/>
      <c r="E32" s="255"/>
      <c r="F32" s="237" t="s">
        <v>300</v>
      </c>
      <c r="G32" s="748">
        <v>299.9</v>
      </c>
      <c r="H32" s="748"/>
      <c r="I32" s="748"/>
      <c r="J32" s="749"/>
      <c r="K32" s="750">
        <v>309.8</v>
      </c>
      <c r="L32" s="748"/>
      <c r="M32" s="748"/>
      <c r="N32" s="749"/>
      <c r="O32" s="750">
        <f>O31/O30*100</f>
        <v>308.43660629170637</v>
      </c>
      <c r="P32" s="748"/>
      <c r="Q32" s="748"/>
      <c r="R32" s="751"/>
      <c r="S32" s="261"/>
      <c r="T32" s="754"/>
      <c r="U32" s="259" t="s">
        <v>320</v>
      </c>
      <c r="V32" s="256"/>
      <c r="W32" s="256"/>
      <c r="X32" s="257"/>
      <c r="Y32" s="233" t="s">
        <v>321</v>
      </c>
      <c r="Z32" s="603">
        <v>-43753</v>
      </c>
      <c r="AA32" s="604">
        <v>-81591</v>
      </c>
      <c r="AB32" s="605">
        <f>AB26-AB29</f>
        <v>-123330</v>
      </c>
    </row>
    <row r="33" spans="1:28" s="234" customFormat="1" ht="29.25" customHeight="1">
      <c r="A33" s="757"/>
      <c r="B33" s="255" t="s">
        <v>322</v>
      </c>
      <c r="C33" s="255"/>
      <c r="D33" s="255"/>
      <c r="E33" s="255"/>
      <c r="F33" s="237" t="s">
        <v>323</v>
      </c>
      <c r="G33" s="776"/>
      <c r="H33" s="776"/>
      <c r="I33" s="776"/>
      <c r="J33" s="777"/>
      <c r="K33" s="778"/>
      <c r="L33" s="776"/>
      <c r="M33" s="776"/>
      <c r="N33" s="777"/>
      <c r="O33" s="778"/>
      <c r="P33" s="776"/>
      <c r="Q33" s="776"/>
      <c r="R33" s="779"/>
      <c r="S33" s="261"/>
      <c r="T33" s="754"/>
      <c r="U33" s="255" t="s">
        <v>324</v>
      </c>
      <c r="V33" s="255"/>
      <c r="W33" s="255"/>
      <c r="X33" s="255"/>
      <c r="Y33" s="233" t="s">
        <v>325</v>
      </c>
      <c r="Z33" s="224">
        <v>43753</v>
      </c>
      <c r="AA33" s="225">
        <v>81591</v>
      </c>
      <c r="AB33" s="226">
        <v>123330</v>
      </c>
    </row>
    <row r="34" spans="1:28" s="234" customFormat="1" ht="29.25" customHeight="1" thickBot="1">
      <c r="A34" s="757"/>
      <c r="B34" s="303" t="s">
        <v>326</v>
      </c>
      <c r="C34" s="303"/>
      <c r="D34" s="302"/>
      <c r="E34" s="300" t="s">
        <v>312</v>
      </c>
      <c r="F34" s="237"/>
      <c r="G34" s="748">
        <v>3.7</v>
      </c>
      <c r="H34" s="748"/>
      <c r="I34" s="748"/>
      <c r="J34" s="749"/>
      <c r="K34" s="750">
        <v>3.4</v>
      </c>
      <c r="L34" s="748"/>
      <c r="M34" s="748"/>
      <c r="N34" s="749"/>
      <c r="O34" s="750">
        <f>O30/14654</f>
        <v>3.4360584140848913</v>
      </c>
      <c r="P34" s="748"/>
      <c r="Q34" s="748"/>
      <c r="R34" s="751"/>
      <c r="S34" s="261"/>
      <c r="T34" s="755"/>
      <c r="U34" s="292" t="s">
        <v>327</v>
      </c>
      <c r="V34" s="293"/>
      <c r="W34" s="293"/>
      <c r="X34" s="282"/>
      <c r="Y34" s="294"/>
      <c r="Z34" s="304">
        <v>0</v>
      </c>
      <c r="AA34" s="305">
        <v>0</v>
      </c>
      <c r="AB34" s="306"/>
    </row>
    <row r="35" spans="1:28" s="234" customFormat="1" ht="29.25" customHeight="1" thickBot="1">
      <c r="A35" s="757"/>
      <c r="B35" s="246" t="s">
        <v>328</v>
      </c>
      <c r="C35" s="246"/>
      <c r="D35" s="301" t="s">
        <v>287</v>
      </c>
      <c r="E35" s="300" t="s">
        <v>313</v>
      </c>
      <c r="F35" s="237"/>
      <c r="G35" s="748">
        <v>11.1</v>
      </c>
      <c r="H35" s="748"/>
      <c r="I35" s="748"/>
      <c r="J35" s="749"/>
      <c r="K35" s="750">
        <v>10.6</v>
      </c>
      <c r="L35" s="748"/>
      <c r="M35" s="748"/>
      <c r="N35" s="749"/>
      <c r="O35" s="750">
        <f>O31/14654</f>
        <v>10.598061962604067</v>
      </c>
      <c r="P35" s="748"/>
      <c r="Q35" s="748"/>
      <c r="R35" s="751"/>
      <c r="S35" s="261"/>
      <c r="T35" s="307" t="s">
        <v>329</v>
      </c>
      <c r="U35" s="308"/>
      <c r="V35" s="308"/>
      <c r="W35" s="308"/>
      <c r="X35" s="309"/>
      <c r="Y35" s="310"/>
      <c r="Z35" s="311">
        <v>2210678</v>
      </c>
      <c r="AA35" s="312">
        <v>2233368</v>
      </c>
      <c r="AB35" s="306">
        <f>2215228-1661</f>
        <v>2213567</v>
      </c>
    </row>
    <row r="36" spans="1:28" s="234" customFormat="1" ht="29.25" customHeight="1">
      <c r="A36" s="757"/>
      <c r="B36" s="255" t="s">
        <v>330</v>
      </c>
      <c r="C36" s="255"/>
      <c r="D36" s="255"/>
      <c r="E36" s="255"/>
      <c r="F36" s="237" t="s">
        <v>323</v>
      </c>
      <c r="G36" s="772"/>
      <c r="H36" s="772"/>
      <c r="I36" s="772"/>
      <c r="J36" s="773"/>
      <c r="K36" s="774"/>
      <c r="L36" s="772"/>
      <c r="M36" s="772"/>
      <c r="N36" s="773"/>
      <c r="O36" s="774"/>
      <c r="P36" s="772"/>
      <c r="Q36" s="772"/>
      <c r="R36" s="775"/>
      <c r="S36" s="313"/>
      <c r="T36" s="314" t="s">
        <v>331</v>
      </c>
      <c r="U36" s="315"/>
      <c r="V36" s="315"/>
      <c r="W36" s="315"/>
      <c r="X36" s="316"/>
      <c r="Y36" s="298"/>
      <c r="Z36" s="216">
        <v>358081</v>
      </c>
      <c r="AA36" s="217">
        <v>352819</v>
      </c>
      <c r="AB36" s="218">
        <f>261295+87337</f>
        <v>348632</v>
      </c>
    </row>
    <row r="37" spans="1:28" s="234" customFormat="1" ht="29.25" customHeight="1" thickBot="1">
      <c r="A37" s="757"/>
      <c r="B37" s="255" t="s">
        <v>332</v>
      </c>
      <c r="C37" s="249"/>
      <c r="D37" s="255"/>
      <c r="E37" s="255"/>
      <c r="F37" s="237" t="s">
        <v>300</v>
      </c>
      <c r="G37" s="748"/>
      <c r="H37" s="748"/>
      <c r="I37" s="748"/>
      <c r="J37" s="749"/>
      <c r="K37" s="750"/>
      <c r="L37" s="748"/>
      <c r="M37" s="748"/>
      <c r="N37" s="749"/>
      <c r="O37" s="750"/>
      <c r="P37" s="748"/>
      <c r="Q37" s="748"/>
      <c r="R37" s="751"/>
      <c r="S37" s="317"/>
      <c r="T37" s="318" t="s">
        <v>251</v>
      </c>
      <c r="U37" s="319"/>
      <c r="V37" s="282" t="s">
        <v>333</v>
      </c>
      <c r="W37" s="283"/>
      <c r="X37" s="283"/>
      <c r="Y37" s="294"/>
      <c r="Z37" s="320">
        <v>328481</v>
      </c>
      <c r="AA37" s="321">
        <v>325586</v>
      </c>
      <c r="AB37" s="322">
        <f>234256+87337</f>
        <v>321593</v>
      </c>
    </row>
    <row r="38" spans="1:28" s="234" customFormat="1" ht="29.25" customHeight="1" thickBot="1">
      <c r="A38" s="757"/>
      <c r="B38" s="303" t="s">
        <v>334</v>
      </c>
      <c r="C38" s="303"/>
      <c r="D38" s="302"/>
      <c r="E38" s="300" t="s">
        <v>312</v>
      </c>
      <c r="F38" s="237"/>
      <c r="G38" s="772"/>
      <c r="H38" s="772"/>
      <c r="I38" s="772"/>
      <c r="J38" s="773"/>
      <c r="K38" s="774"/>
      <c r="L38" s="772"/>
      <c r="M38" s="772"/>
      <c r="N38" s="773"/>
      <c r="O38" s="774"/>
      <c r="P38" s="772"/>
      <c r="Q38" s="772"/>
      <c r="R38" s="775"/>
      <c r="S38" s="323"/>
      <c r="T38" s="227" t="s">
        <v>335</v>
      </c>
      <c r="U38" s="228"/>
      <c r="V38" s="228"/>
      <c r="W38" s="228"/>
      <c r="X38" s="228"/>
      <c r="Y38" s="310"/>
      <c r="Z38" s="324">
        <v>490338</v>
      </c>
      <c r="AA38" s="325">
        <v>773264</v>
      </c>
      <c r="AB38" s="326">
        <f>418137-83731+210667+422504-418137+3364</f>
        <v>552804</v>
      </c>
    </row>
    <row r="39" spans="1:28" s="234" customFormat="1" ht="29.25" customHeight="1">
      <c r="A39" s="757"/>
      <c r="B39" s="246" t="s">
        <v>336</v>
      </c>
      <c r="C39" s="246"/>
      <c r="D39" s="301" t="s">
        <v>337</v>
      </c>
      <c r="E39" s="300" t="s">
        <v>313</v>
      </c>
      <c r="F39" s="237"/>
      <c r="G39" s="772"/>
      <c r="H39" s="772"/>
      <c r="I39" s="772"/>
      <c r="J39" s="773"/>
      <c r="K39" s="774"/>
      <c r="L39" s="772"/>
      <c r="M39" s="772"/>
      <c r="N39" s="773"/>
      <c r="O39" s="774"/>
      <c r="P39" s="772"/>
      <c r="Q39" s="772"/>
      <c r="R39" s="775"/>
      <c r="S39" s="313"/>
      <c r="T39" s="753" t="s">
        <v>338</v>
      </c>
      <c r="U39" s="753" t="s">
        <v>339</v>
      </c>
      <c r="V39" s="327" t="s">
        <v>340</v>
      </c>
      <c r="W39" s="315"/>
      <c r="X39" s="316"/>
      <c r="Y39" s="298"/>
      <c r="Z39" s="216">
        <v>3425891</v>
      </c>
      <c r="AA39" s="217">
        <v>3370395</v>
      </c>
      <c r="AB39" s="218">
        <v>3347175</v>
      </c>
    </row>
    <row r="40" spans="1:28" s="234" customFormat="1" ht="29.25" customHeight="1">
      <c r="A40" s="757"/>
      <c r="B40" s="328" t="s">
        <v>341</v>
      </c>
      <c r="C40" s="329"/>
      <c r="D40" s="330" t="s">
        <v>342</v>
      </c>
      <c r="E40" s="255"/>
      <c r="F40" s="237"/>
      <c r="G40" s="772">
        <v>773</v>
      </c>
      <c r="H40" s="772"/>
      <c r="I40" s="772"/>
      <c r="J40" s="773"/>
      <c r="K40" s="774">
        <v>786</v>
      </c>
      <c r="L40" s="772"/>
      <c r="M40" s="772"/>
      <c r="N40" s="773"/>
      <c r="O40" s="774">
        <f>(425623-261295)/(O30+O31)*1000</f>
        <v>799.0430622009569</v>
      </c>
      <c r="P40" s="772"/>
      <c r="Q40" s="772"/>
      <c r="R40" s="775"/>
      <c r="S40" s="261"/>
      <c r="T40" s="754"/>
      <c r="U40" s="754"/>
      <c r="V40" s="745" t="s">
        <v>251</v>
      </c>
      <c r="W40" s="231" t="s">
        <v>343</v>
      </c>
      <c r="X40" s="232"/>
      <c r="Y40" s="233"/>
      <c r="Z40" s="224">
        <v>3252353</v>
      </c>
      <c r="AA40" s="225">
        <v>3244173</v>
      </c>
      <c r="AB40" s="226">
        <v>3273525</v>
      </c>
    </row>
    <row r="41" spans="1:28" s="234" customFormat="1" ht="29.25" customHeight="1">
      <c r="A41" s="757"/>
      <c r="B41" s="331"/>
      <c r="C41" s="332"/>
      <c r="D41" s="333" t="s">
        <v>251</v>
      </c>
      <c r="E41" s="232" t="s">
        <v>344</v>
      </c>
      <c r="F41" s="237"/>
      <c r="G41" s="772"/>
      <c r="H41" s="772"/>
      <c r="I41" s="772"/>
      <c r="J41" s="773"/>
      <c r="K41" s="774"/>
      <c r="L41" s="772"/>
      <c r="M41" s="772"/>
      <c r="N41" s="773"/>
      <c r="O41" s="774"/>
      <c r="P41" s="772"/>
      <c r="Q41" s="772"/>
      <c r="R41" s="775"/>
      <c r="S41" s="261"/>
      <c r="T41" s="754"/>
      <c r="U41" s="754"/>
      <c r="V41" s="752"/>
      <c r="W41" s="231" t="s">
        <v>345</v>
      </c>
      <c r="X41" s="257"/>
      <c r="Y41" s="334"/>
      <c r="Z41" s="224">
        <v>1881885</v>
      </c>
      <c r="AA41" s="225">
        <v>1938081</v>
      </c>
      <c r="AB41" s="226">
        <v>1986213</v>
      </c>
    </row>
    <row r="42" spans="1:28" s="234" customFormat="1" ht="29.25" customHeight="1">
      <c r="A42" s="757"/>
      <c r="B42" s="335" t="s">
        <v>346</v>
      </c>
      <c r="C42" s="336"/>
      <c r="D42" s="232" t="s">
        <v>347</v>
      </c>
      <c r="E42" s="255"/>
      <c r="F42" s="237"/>
      <c r="G42" s="772">
        <v>2010</v>
      </c>
      <c r="H42" s="772"/>
      <c r="I42" s="772"/>
      <c r="J42" s="773"/>
      <c r="K42" s="774">
        <v>1929</v>
      </c>
      <c r="L42" s="772"/>
      <c r="M42" s="772"/>
      <c r="N42" s="773"/>
      <c r="O42" s="774">
        <f>418137/(O30+O31)*1000</f>
        <v>2033.1864861710817</v>
      </c>
      <c r="P42" s="772"/>
      <c r="Q42" s="772"/>
      <c r="R42" s="775"/>
      <c r="S42" s="261"/>
      <c r="T42" s="754"/>
      <c r="U42" s="754"/>
      <c r="V42" s="259" t="s">
        <v>348</v>
      </c>
      <c r="W42" s="231"/>
      <c r="X42" s="232"/>
      <c r="Y42" s="233"/>
      <c r="Z42" s="337">
        <v>2215767</v>
      </c>
      <c r="AA42" s="338">
        <v>2235883</v>
      </c>
      <c r="AB42" s="339">
        <v>2215228</v>
      </c>
    </row>
    <row r="43" spans="1:28" s="234" customFormat="1" ht="29.25" customHeight="1">
      <c r="A43" s="757"/>
      <c r="B43" s="335" t="s">
        <v>349</v>
      </c>
      <c r="C43" s="332"/>
      <c r="D43" s="770" t="s">
        <v>251</v>
      </c>
      <c r="E43" s="232" t="s">
        <v>350</v>
      </c>
      <c r="F43" s="237"/>
      <c r="G43" s="772">
        <v>85</v>
      </c>
      <c r="H43" s="772"/>
      <c r="I43" s="772"/>
      <c r="J43" s="773"/>
      <c r="K43" s="774">
        <v>87</v>
      </c>
      <c r="L43" s="772"/>
      <c r="M43" s="772"/>
      <c r="N43" s="773"/>
      <c r="O43" s="774">
        <f>20085/(O30+O31)*1000</f>
        <v>97.66308787489788</v>
      </c>
      <c r="P43" s="772"/>
      <c r="Q43" s="772"/>
      <c r="R43" s="775"/>
      <c r="S43" s="261"/>
      <c r="T43" s="754"/>
      <c r="U43" s="754"/>
      <c r="V43" s="745" t="s">
        <v>251</v>
      </c>
      <c r="W43" s="231" t="s">
        <v>351</v>
      </c>
      <c r="X43" s="232"/>
      <c r="Y43" s="233"/>
      <c r="Z43" s="224">
        <v>1769715</v>
      </c>
      <c r="AA43" s="225">
        <v>1795502</v>
      </c>
      <c r="AB43" s="226">
        <v>1782144</v>
      </c>
    </row>
    <row r="44" spans="1:28" s="234" customFormat="1" ht="29.25" customHeight="1">
      <c r="A44" s="757"/>
      <c r="B44" s="340"/>
      <c r="C44" s="341" t="s">
        <v>352</v>
      </c>
      <c r="D44" s="771"/>
      <c r="E44" s="232" t="s">
        <v>353</v>
      </c>
      <c r="F44" s="237"/>
      <c r="G44" s="772"/>
      <c r="H44" s="772"/>
      <c r="I44" s="772"/>
      <c r="J44" s="773"/>
      <c r="K44" s="774"/>
      <c r="L44" s="772"/>
      <c r="M44" s="772"/>
      <c r="N44" s="773"/>
      <c r="O44" s="774"/>
      <c r="P44" s="772"/>
      <c r="Q44" s="772"/>
      <c r="R44" s="775"/>
      <c r="S44" s="261"/>
      <c r="T44" s="754"/>
      <c r="U44" s="754"/>
      <c r="V44" s="746"/>
      <c r="W44" s="231" t="s">
        <v>354</v>
      </c>
      <c r="X44" s="232"/>
      <c r="Y44" s="233"/>
      <c r="Z44" s="342">
        <v>445852</v>
      </c>
      <c r="AA44" s="343">
        <v>440181</v>
      </c>
      <c r="AB44" s="344">
        <v>432885</v>
      </c>
    </row>
    <row r="45" spans="1:28" s="234" customFormat="1" ht="29.25" customHeight="1">
      <c r="A45" s="757"/>
      <c r="B45" s="340"/>
      <c r="C45" s="332"/>
      <c r="D45" s="331" t="s">
        <v>355</v>
      </c>
      <c r="E45" s="331"/>
      <c r="F45" s="261"/>
      <c r="G45" s="772"/>
      <c r="H45" s="772"/>
      <c r="I45" s="772"/>
      <c r="J45" s="773"/>
      <c r="K45" s="774">
        <v>59</v>
      </c>
      <c r="L45" s="772"/>
      <c r="M45" s="772"/>
      <c r="N45" s="773"/>
      <c r="O45" s="774">
        <f>7486/(O30+O31)*1000</f>
        <v>36.40059127864006</v>
      </c>
      <c r="P45" s="772"/>
      <c r="Q45" s="772"/>
      <c r="R45" s="775"/>
      <c r="S45" s="261"/>
      <c r="T45" s="754"/>
      <c r="U45" s="754"/>
      <c r="V45" s="752"/>
      <c r="W45" s="231" t="s">
        <v>356</v>
      </c>
      <c r="X45" s="232"/>
      <c r="Y45" s="233"/>
      <c r="Z45" s="224"/>
      <c r="AA45" s="225">
        <v>0</v>
      </c>
      <c r="AB45" s="226"/>
    </row>
    <row r="46" spans="1:28" s="234" customFormat="1" ht="29.25" customHeight="1" thickBot="1">
      <c r="A46" s="757"/>
      <c r="B46" s="345" t="s">
        <v>357</v>
      </c>
      <c r="C46" s="303"/>
      <c r="D46" s="303"/>
      <c r="E46" s="255"/>
      <c r="F46" s="237" t="s">
        <v>358</v>
      </c>
      <c r="G46" s="772"/>
      <c r="H46" s="772"/>
      <c r="I46" s="772"/>
      <c r="J46" s="773"/>
      <c r="K46" s="774"/>
      <c r="L46" s="772"/>
      <c r="M46" s="772"/>
      <c r="N46" s="773"/>
      <c r="O46" s="774"/>
      <c r="P46" s="772"/>
      <c r="Q46" s="772"/>
      <c r="R46" s="775"/>
      <c r="S46" s="261"/>
      <c r="T46" s="754"/>
      <c r="U46" s="754"/>
      <c r="V46" s="346" t="s">
        <v>359</v>
      </c>
      <c r="W46" s="347"/>
      <c r="X46" s="348"/>
      <c r="Y46" s="349"/>
      <c r="Z46" s="337"/>
      <c r="AA46" s="338"/>
      <c r="AB46" s="339"/>
    </row>
    <row r="47" spans="1:28" s="234" customFormat="1" ht="29.25" customHeight="1" thickBot="1">
      <c r="A47" s="757"/>
      <c r="B47" s="303" t="s">
        <v>360</v>
      </c>
      <c r="C47" s="303"/>
      <c r="D47" s="302"/>
      <c r="E47" s="232" t="s">
        <v>361</v>
      </c>
      <c r="F47" s="237"/>
      <c r="G47" s="772">
        <v>1199</v>
      </c>
      <c r="H47" s="772"/>
      <c r="I47" s="772"/>
      <c r="J47" s="773"/>
      <c r="K47" s="774">
        <v>1370</v>
      </c>
      <c r="L47" s="772"/>
      <c r="M47" s="772"/>
      <c r="N47" s="773"/>
      <c r="O47" s="774">
        <f>107000/73000*1000</f>
        <v>1465.7534246575344</v>
      </c>
      <c r="P47" s="772"/>
      <c r="Q47" s="772"/>
      <c r="R47" s="775"/>
      <c r="S47" s="261"/>
      <c r="T47" s="754"/>
      <c r="U47" s="755"/>
      <c r="V47" s="307" t="s">
        <v>362</v>
      </c>
      <c r="W47" s="308"/>
      <c r="X47" s="309"/>
      <c r="Y47" s="310"/>
      <c r="Z47" s="324">
        <v>5641658</v>
      </c>
      <c r="AA47" s="325">
        <v>5606278</v>
      </c>
      <c r="AB47" s="326">
        <f>AB39+AB42+AB46</f>
        <v>5562403</v>
      </c>
    </row>
    <row r="48" spans="1:28" s="234" customFormat="1" ht="29.25" customHeight="1" thickBot="1">
      <c r="A48" s="758"/>
      <c r="B48" s="263" t="s">
        <v>363</v>
      </c>
      <c r="C48" s="264"/>
      <c r="D48" s="350"/>
      <c r="E48" s="348" t="s">
        <v>364</v>
      </c>
      <c r="F48" s="351"/>
      <c r="G48" s="820">
        <v>4971</v>
      </c>
      <c r="H48" s="820"/>
      <c r="I48" s="820"/>
      <c r="J48" s="821"/>
      <c r="K48" s="822">
        <v>4786</v>
      </c>
      <c r="L48" s="820"/>
      <c r="M48" s="820"/>
      <c r="N48" s="821"/>
      <c r="O48" s="822">
        <f>352168/73000*1000</f>
        <v>4824.219178082192</v>
      </c>
      <c r="P48" s="820"/>
      <c r="Q48" s="820"/>
      <c r="R48" s="823"/>
      <c r="S48" s="261"/>
      <c r="T48" s="754"/>
      <c r="U48" s="753" t="s">
        <v>365</v>
      </c>
      <c r="V48" s="327" t="s">
        <v>366</v>
      </c>
      <c r="W48" s="315"/>
      <c r="X48" s="316"/>
      <c r="Y48" s="298"/>
      <c r="Z48" s="216">
        <v>310906</v>
      </c>
      <c r="AA48" s="217">
        <v>310560</v>
      </c>
      <c r="AB48" s="218">
        <v>303723</v>
      </c>
    </row>
    <row r="49" spans="1:28" s="234" customFormat="1" ht="29.25" customHeight="1">
      <c r="A49" s="756" t="s">
        <v>367</v>
      </c>
      <c r="B49" s="352" t="s">
        <v>280</v>
      </c>
      <c r="C49" s="246"/>
      <c r="D49" s="246"/>
      <c r="E49" s="236"/>
      <c r="F49" s="274"/>
      <c r="G49" s="759">
        <v>4.2</v>
      </c>
      <c r="H49" s="759"/>
      <c r="I49" s="759"/>
      <c r="J49" s="760"/>
      <c r="K49" s="761">
        <v>4.5</v>
      </c>
      <c r="L49" s="759"/>
      <c r="M49" s="759"/>
      <c r="N49" s="760"/>
      <c r="O49" s="761">
        <f>20085/418137*100</f>
        <v>4.803449587097052</v>
      </c>
      <c r="P49" s="759"/>
      <c r="Q49" s="759"/>
      <c r="R49" s="762"/>
      <c r="S49" s="261"/>
      <c r="T49" s="754"/>
      <c r="U49" s="754"/>
      <c r="V49" s="259" t="s">
        <v>368</v>
      </c>
      <c r="W49" s="231"/>
      <c r="X49" s="232"/>
      <c r="Y49" s="233"/>
      <c r="Z49" s="224">
        <v>5089</v>
      </c>
      <c r="AA49" s="225">
        <v>2515</v>
      </c>
      <c r="AB49" s="226">
        <v>1661</v>
      </c>
    </row>
    <row r="50" spans="1:28" s="234" customFormat="1" ht="29.25" customHeight="1">
      <c r="A50" s="757"/>
      <c r="B50" s="260" t="s">
        <v>294</v>
      </c>
      <c r="C50" s="255"/>
      <c r="D50" s="255"/>
      <c r="E50" s="255"/>
      <c r="F50" s="237"/>
      <c r="G50" s="748">
        <v>17.3</v>
      </c>
      <c r="H50" s="748"/>
      <c r="I50" s="748"/>
      <c r="J50" s="749"/>
      <c r="K50" s="750">
        <v>16.9</v>
      </c>
      <c r="L50" s="748"/>
      <c r="M50" s="748"/>
      <c r="N50" s="749"/>
      <c r="O50" s="750">
        <f>65969/418137*100</f>
        <v>15.77688652283821</v>
      </c>
      <c r="P50" s="748"/>
      <c r="Q50" s="748"/>
      <c r="R50" s="751"/>
      <c r="S50" s="261"/>
      <c r="T50" s="754"/>
      <c r="U50" s="754"/>
      <c r="V50" s="745" t="s">
        <v>251</v>
      </c>
      <c r="W50" s="231" t="s">
        <v>369</v>
      </c>
      <c r="X50" s="232"/>
      <c r="Y50" s="233"/>
      <c r="Z50" s="224"/>
      <c r="AA50" s="225"/>
      <c r="AB50" s="226"/>
    </row>
    <row r="51" spans="1:28" s="234" customFormat="1" ht="29.25" customHeight="1" thickBot="1">
      <c r="A51" s="757"/>
      <c r="B51" s="353" t="s">
        <v>288</v>
      </c>
      <c r="C51" s="331"/>
      <c r="D51" s="331"/>
      <c r="E51" s="331"/>
      <c r="F51" s="261"/>
      <c r="G51" s="748">
        <v>21.9</v>
      </c>
      <c r="H51" s="748"/>
      <c r="I51" s="748"/>
      <c r="J51" s="749"/>
      <c r="K51" s="750">
        <v>21</v>
      </c>
      <c r="L51" s="748"/>
      <c r="M51" s="748"/>
      <c r="N51" s="749"/>
      <c r="O51" s="750">
        <f>83731/418137*100</f>
        <v>20.024776568445272</v>
      </c>
      <c r="P51" s="748"/>
      <c r="Q51" s="748"/>
      <c r="R51" s="751"/>
      <c r="S51" s="261"/>
      <c r="T51" s="754"/>
      <c r="U51" s="754"/>
      <c r="V51" s="747"/>
      <c r="W51" s="293" t="s">
        <v>370</v>
      </c>
      <c r="X51" s="282"/>
      <c r="Y51" s="294"/>
      <c r="Z51" s="320">
        <v>4889</v>
      </c>
      <c r="AA51" s="321">
        <v>2315</v>
      </c>
      <c r="AB51" s="322">
        <v>1461</v>
      </c>
    </row>
    <row r="52" spans="1:28" s="234" customFormat="1" ht="29.25" customHeight="1" thickBot="1">
      <c r="A52" s="757"/>
      <c r="B52" s="260" t="s">
        <v>284</v>
      </c>
      <c r="C52" s="255"/>
      <c r="D52" s="255"/>
      <c r="E52" s="255"/>
      <c r="F52" s="237"/>
      <c r="G52" s="748"/>
      <c r="H52" s="748"/>
      <c r="I52" s="748"/>
      <c r="J52" s="749"/>
      <c r="K52" s="750"/>
      <c r="L52" s="748"/>
      <c r="M52" s="748"/>
      <c r="N52" s="749"/>
      <c r="O52" s="750"/>
      <c r="P52" s="748"/>
      <c r="Q52" s="748"/>
      <c r="R52" s="751"/>
      <c r="S52" s="261"/>
      <c r="T52" s="754"/>
      <c r="U52" s="755"/>
      <c r="V52" s="350" t="s">
        <v>371</v>
      </c>
      <c r="W52" s="354"/>
      <c r="X52" s="355"/>
      <c r="Y52" s="356"/>
      <c r="Z52" s="357">
        <v>315995</v>
      </c>
      <c r="AA52" s="358">
        <v>313075</v>
      </c>
      <c r="AB52" s="359">
        <f>AB48+AB49</f>
        <v>305384</v>
      </c>
    </row>
    <row r="53" spans="1:28" s="234" customFormat="1" ht="29.25" customHeight="1" thickBot="1">
      <c r="A53" s="758"/>
      <c r="B53" s="263" t="s">
        <v>372</v>
      </c>
      <c r="C53" s="264"/>
      <c r="D53" s="264"/>
      <c r="E53" s="264"/>
      <c r="F53" s="265"/>
      <c r="G53" s="763">
        <v>56.6</v>
      </c>
      <c r="H53" s="763"/>
      <c r="I53" s="763"/>
      <c r="J53" s="764"/>
      <c r="K53" s="765">
        <v>57.6</v>
      </c>
      <c r="L53" s="763"/>
      <c r="M53" s="763"/>
      <c r="N53" s="764"/>
      <c r="O53" s="765">
        <f>(418137-20085-65969-83731)/418137*100</f>
        <v>59.39488732161947</v>
      </c>
      <c r="P53" s="763"/>
      <c r="Q53" s="763"/>
      <c r="R53" s="766"/>
      <c r="S53" s="261"/>
      <c r="T53" s="754"/>
      <c r="U53" s="753" t="s">
        <v>373</v>
      </c>
      <c r="V53" s="327" t="s">
        <v>374</v>
      </c>
      <c r="W53" s="315"/>
      <c r="X53" s="316"/>
      <c r="Y53" s="298"/>
      <c r="Z53" s="216">
        <v>4827625</v>
      </c>
      <c r="AA53" s="217">
        <v>4796629</v>
      </c>
      <c r="AB53" s="218">
        <v>4752959</v>
      </c>
    </row>
    <row r="54" spans="1:28" s="234" customFormat="1" ht="29.25" customHeight="1">
      <c r="A54" s="756" t="s">
        <v>375</v>
      </c>
      <c r="B54" s="235" t="s">
        <v>376</v>
      </c>
      <c r="C54" s="236"/>
      <c r="D54" s="236"/>
      <c r="E54" s="236"/>
      <c r="F54" s="274"/>
      <c r="G54" s="759">
        <v>59.3</v>
      </c>
      <c r="H54" s="759"/>
      <c r="I54" s="759"/>
      <c r="J54" s="760"/>
      <c r="K54" s="761">
        <v>61.5</v>
      </c>
      <c r="L54" s="759"/>
      <c r="M54" s="759"/>
      <c r="N54" s="760"/>
      <c r="O54" s="761">
        <f>(3039873+504060)/5562403*100</f>
        <v>63.71226608356137</v>
      </c>
      <c r="P54" s="759"/>
      <c r="Q54" s="759"/>
      <c r="R54" s="762"/>
      <c r="S54" s="261"/>
      <c r="T54" s="754"/>
      <c r="U54" s="754"/>
      <c r="V54" s="745" t="s">
        <v>257</v>
      </c>
      <c r="W54" s="231" t="s">
        <v>377</v>
      </c>
      <c r="X54" s="232"/>
      <c r="Y54" s="233"/>
      <c r="Z54" s="224">
        <v>2847419</v>
      </c>
      <c r="AA54" s="225">
        <v>2952536</v>
      </c>
      <c r="AB54" s="226">
        <v>3039873</v>
      </c>
    </row>
    <row r="55" spans="1:28" s="234" customFormat="1" ht="29.25" customHeight="1">
      <c r="A55" s="757"/>
      <c r="B55" s="260" t="s">
        <v>378</v>
      </c>
      <c r="C55" s="255"/>
      <c r="D55" s="255"/>
      <c r="E55" s="255"/>
      <c r="F55" s="360"/>
      <c r="G55" s="748">
        <v>43540.3</v>
      </c>
      <c r="H55" s="748"/>
      <c r="I55" s="748"/>
      <c r="J55" s="749"/>
      <c r="K55" s="750">
        <v>88901.9</v>
      </c>
      <c r="L55" s="748"/>
      <c r="M55" s="748"/>
      <c r="N55" s="749"/>
      <c r="O55" s="750">
        <f>2215228/1661*100</f>
        <v>133367.1282360024</v>
      </c>
      <c r="P55" s="748"/>
      <c r="Q55" s="748"/>
      <c r="R55" s="751"/>
      <c r="S55" s="261"/>
      <c r="T55" s="754"/>
      <c r="U55" s="754"/>
      <c r="V55" s="746"/>
      <c r="W55" s="231" t="s">
        <v>310</v>
      </c>
      <c r="X55" s="232"/>
      <c r="Y55" s="233"/>
      <c r="Z55" s="224">
        <v>1980206</v>
      </c>
      <c r="AA55" s="225">
        <v>1844093</v>
      </c>
      <c r="AB55" s="226">
        <v>1713086</v>
      </c>
    </row>
    <row r="56" spans="1:28" s="234" customFormat="1" ht="29.25" customHeight="1">
      <c r="A56" s="757"/>
      <c r="B56" s="260" t="s">
        <v>379</v>
      </c>
      <c r="C56" s="255"/>
      <c r="D56" s="255"/>
      <c r="E56" s="255"/>
      <c r="F56" s="360"/>
      <c r="G56" s="748">
        <v>99.9</v>
      </c>
      <c r="H56" s="748"/>
      <c r="I56" s="748"/>
      <c r="J56" s="749"/>
      <c r="K56" s="750">
        <v>103.1</v>
      </c>
      <c r="L56" s="748"/>
      <c r="M56" s="748"/>
      <c r="N56" s="749"/>
      <c r="O56" s="750">
        <f>(107000+318623)/(352168+65969)*100</f>
        <v>101.79032231063026</v>
      </c>
      <c r="P56" s="748"/>
      <c r="Q56" s="748"/>
      <c r="R56" s="751"/>
      <c r="S56" s="261"/>
      <c r="T56" s="754"/>
      <c r="U56" s="754"/>
      <c r="V56" s="752"/>
      <c r="W56" s="231" t="s">
        <v>380</v>
      </c>
      <c r="X56" s="232"/>
      <c r="Y56" s="233"/>
      <c r="Z56" s="224"/>
      <c r="AA56" s="225">
        <v>0</v>
      </c>
      <c r="AB56" s="226"/>
    </row>
    <row r="57" spans="1:28" s="234" customFormat="1" ht="29.25" customHeight="1">
      <c r="A57" s="757"/>
      <c r="B57" s="260" t="s">
        <v>381</v>
      </c>
      <c r="C57" s="255"/>
      <c r="D57" s="255"/>
      <c r="E57" s="255"/>
      <c r="F57" s="360"/>
      <c r="G57" s="748">
        <v>24.1</v>
      </c>
      <c r="H57" s="748"/>
      <c r="I57" s="748"/>
      <c r="J57" s="749"/>
      <c r="K57" s="750">
        <v>28.6</v>
      </c>
      <c r="L57" s="748"/>
      <c r="M57" s="748"/>
      <c r="N57" s="749"/>
      <c r="O57" s="750">
        <f>107000/352168*100</f>
        <v>30.38322618750142</v>
      </c>
      <c r="P57" s="748"/>
      <c r="Q57" s="748"/>
      <c r="R57" s="751"/>
      <c r="S57" s="261"/>
      <c r="T57" s="754"/>
      <c r="U57" s="754"/>
      <c r="V57" s="259" t="s">
        <v>382</v>
      </c>
      <c r="W57" s="231"/>
      <c r="X57" s="232"/>
      <c r="Y57" s="233"/>
      <c r="Z57" s="224">
        <v>498038</v>
      </c>
      <c r="AA57" s="225">
        <v>496574</v>
      </c>
      <c r="AB57" s="226">
        <v>504060</v>
      </c>
    </row>
    <row r="58" spans="1:28" s="234" customFormat="1" ht="29.25" customHeight="1">
      <c r="A58" s="757"/>
      <c r="B58" s="260" t="s">
        <v>383</v>
      </c>
      <c r="C58" s="255"/>
      <c r="D58" s="255"/>
      <c r="E58" s="255"/>
      <c r="F58" s="360"/>
      <c r="G58" s="748"/>
      <c r="H58" s="748"/>
      <c r="I58" s="748"/>
      <c r="J58" s="749"/>
      <c r="K58" s="750">
        <v>12.9</v>
      </c>
      <c r="L58" s="748"/>
      <c r="M58" s="748"/>
      <c r="N58" s="749"/>
      <c r="O58" s="750">
        <f>7486/107000*100</f>
        <v>6.996261682242991</v>
      </c>
      <c r="P58" s="748"/>
      <c r="Q58" s="748"/>
      <c r="R58" s="751"/>
      <c r="S58" s="261"/>
      <c r="T58" s="754"/>
      <c r="U58" s="754"/>
      <c r="V58" s="745" t="s">
        <v>257</v>
      </c>
      <c r="W58" s="231" t="s">
        <v>384</v>
      </c>
      <c r="X58" s="232"/>
      <c r="Y58" s="233"/>
      <c r="Z58" s="224">
        <v>483663</v>
      </c>
      <c r="AA58" s="225">
        <v>483662</v>
      </c>
      <c r="AB58" s="226">
        <v>483662</v>
      </c>
    </row>
    <row r="59" spans="1:28" s="234" customFormat="1" ht="29.25" customHeight="1">
      <c r="A59" s="757"/>
      <c r="B59" s="260" t="s">
        <v>385</v>
      </c>
      <c r="C59" s="255"/>
      <c r="D59" s="255"/>
      <c r="E59" s="255"/>
      <c r="F59" s="360"/>
      <c r="G59" s="748"/>
      <c r="H59" s="748"/>
      <c r="I59" s="748"/>
      <c r="J59" s="749"/>
      <c r="K59" s="750"/>
      <c r="L59" s="748"/>
      <c r="M59" s="748"/>
      <c r="N59" s="749"/>
      <c r="O59" s="750"/>
      <c r="P59" s="748"/>
      <c r="Q59" s="748"/>
      <c r="R59" s="751"/>
      <c r="S59" s="261"/>
      <c r="T59" s="754"/>
      <c r="U59" s="754"/>
      <c r="V59" s="746"/>
      <c r="W59" s="231" t="s">
        <v>386</v>
      </c>
      <c r="X59" s="232"/>
      <c r="Y59" s="233"/>
      <c r="Z59" s="224">
        <v>14375</v>
      </c>
      <c r="AA59" s="225"/>
      <c r="AB59" s="226">
        <v>12912</v>
      </c>
    </row>
    <row r="60" spans="1:28" s="234" customFormat="1" ht="29.25" customHeight="1" thickBot="1">
      <c r="A60" s="757"/>
      <c r="B60" s="767" t="s">
        <v>387</v>
      </c>
      <c r="C60" s="232" t="s">
        <v>318</v>
      </c>
      <c r="D60" s="255"/>
      <c r="E60" s="255"/>
      <c r="F60" s="360"/>
      <c r="G60" s="748">
        <v>149.5</v>
      </c>
      <c r="H60" s="748"/>
      <c r="I60" s="748"/>
      <c r="J60" s="749"/>
      <c r="K60" s="750">
        <v>136.1</v>
      </c>
      <c r="L60" s="748"/>
      <c r="M60" s="748"/>
      <c r="N60" s="749"/>
      <c r="O60" s="750">
        <f>131007/107000*100</f>
        <v>122.43644859813084</v>
      </c>
      <c r="P60" s="748"/>
      <c r="Q60" s="748"/>
      <c r="R60" s="751"/>
      <c r="S60" s="261"/>
      <c r="T60" s="754"/>
      <c r="U60" s="754"/>
      <c r="V60" s="747"/>
      <c r="W60" s="282" t="s">
        <v>388</v>
      </c>
      <c r="X60" s="361"/>
      <c r="Y60" s="362"/>
      <c r="Z60" s="295">
        <v>0</v>
      </c>
      <c r="AA60" s="296">
        <v>12912</v>
      </c>
      <c r="AB60" s="297">
        <v>7486</v>
      </c>
    </row>
    <row r="61" spans="1:28" s="234" customFormat="1" ht="29.25" customHeight="1" thickBot="1">
      <c r="A61" s="757"/>
      <c r="B61" s="768"/>
      <c r="C61" s="232" t="s">
        <v>389</v>
      </c>
      <c r="D61" s="255"/>
      <c r="E61" s="255"/>
      <c r="F61" s="360"/>
      <c r="G61" s="748">
        <v>86.4</v>
      </c>
      <c r="H61" s="748"/>
      <c r="I61" s="748"/>
      <c r="J61" s="749"/>
      <c r="K61" s="750">
        <v>71</v>
      </c>
      <c r="L61" s="748"/>
      <c r="M61" s="748"/>
      <c r="N61" s="749"/>
      <c r="O61" s="750">
        <f>65969/107000*100</f>
        <v>61.65327102803738</v>
      </c>
      <c r="P61" s="748"/>
      <c r="Q61" s="748"/>
      <c r="R61" s="751"/>
      <c r="S61" s="261"/>
      <c r="T61" s="755"/>
      <c r="U61" s="755"/>
      <c r="V61" s="350" t="s">
        <v>390</v>
      </c>
      <c r="W61" s="354"/>
      <c r="X61" s="355"/>
      <c r="Y61" s="356"/>
      <c r="Z61" s="357">
        <v>5325663</v>
      </c>
      <c r="AA61" s="358">
        <v>5293203</v>
      </c>
      <c r="AB61" s="359">
        <f>AB53+AB57</f>
        <v>5257019</v>
      </c>
    </row>
    <row r="62" spans="1:28" s="234" customFormat="1" ht="29.25" customHeight="1">
      <c r="A62" s="757"/>
      <c r="B62" s="768"/>
      <c r="C62" s="232" t="s">
        <v>391</v>
      </c>
      <c r="D62" s="255"/>
      <c r="E62" s="255"/>
      <c r="F62" s="360"/>
      <c r="G62" s="748">
        <v>235.9</v>
      </c>
      <c r="H62" s="748"/>
      <c r="I62" s="748"/>
      <c r="J62" s="749"/>
      <c r="K62" s="750">
        <v>207.1</v>
      </c>
      <c r="L62" s="748"/>
      <c r="M62" s="748"/>
      <c r="N62" s="749"/>
      <c r="O62" s="750">
        <f>(131007+65969)/107000*100</f>
        <v>184.08971962616823</v>
      </c>
      <c r="P62" s="748"/>
      <c r="Q62" s="748"/>
      <c r="R62" s="751"/>
      <c r="S62" s="313"/>
      <c r="T62" s="363"/>
      <c r="U62" s="331"/>
      <c r="V62" s="331"/>
      <c r="W62" s="331"/>
      <c r="X62" s="331"/>
      <c r="Y62" s="331"/>
      <c r="Z62" s="331"/>
      <c r="AA62" s="331"/>
      <c r="AB62" s="331"/>
    </row>
    <row r="63" spans="1:28" s="234" customFormat="1" ht="29.25" customHeight="1">
      <c r="A63" s="757"/>
      <c r="B63" s="768"/>
      <c r="C63" s="232" t="s">
        <v>280</v>
      </c>
      <c r="D63" s="255"/>
      <c r="E63" s="255"/>
      <c r="F63" s="360"/>
      <c r="G63" s="748">
        <v>21.1</v>
      </c>
      <c r="H63" s="748"/>
      <c r="I63" s="748"/>
      <c r="J63" s="749"/>
      <c r="K63" s="750">
        <v>19</v>
      </c>
      <c r="L63" s="748"/>
      <c r="M63" s="748"/>
      <c r="N63" s="749"/>
      <c r="O63" s="750">
        <f>20085/107000*100</f>
        <v>18.77102803738318</v>
      </c>
      <c r="P63" s="748"/>
      <c r="Q63" s="748"/>
      <c r="R63" s="751"/>
      <c r="S63" s="313"/>
      <c r="T63" s="191"/>
      <c r="U63" s="191"/>
      <c r="V63" s="191"/>
      <c r="W63" s="191"/>
      <c r="X63" s="191"/>
      <c r="Y63" s="191"/>
      <c r="Z63" s="191"/>
      <c r="AA63" s="191"/>
      <c r="AB63" s="191"/>
    </row>
    <row r="64" spans="1:19" ht="29.25" customHeight="1" thickBot="1">
      <c r="A64" s="758"/>
      <c r="B64" s="769"/>
      <c r="C64" s="282" t="s">
        <v>392</v>
      </c>
      <c r="D64" s="283"/>
      <c r="E64" s="364"/>
      <c r="F64" s="365"/>
      <c r="G64" s="763"/>
      <c r="H64" s="763"/>
      <c r="I64" s="763"/>
      <c r="J64" s="764"/>
      <c r="K64" s="765"/>
      <c r="L64" s="763"/>
      <c r="M64" s="763"/>
      <c r="N64" s="764"/>
      <c r="O64" s="765"/>
      <c r="P64" s="763"/>
      <c r="Q64" s="763"/>
      <c r="R64" s="766"/>
      <c r="S64" s="313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2777777777778" right="0.5902777777777778" top="0.5902777777777778" bottom="0.5902777777777778" header="0.3145833333333333" footer="0.3145833333333333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n.szk113</dc:creator>
  <cp:keywords/>
  <dc:description/>
  <cp:lastModifiedBy>千葉県</cp:lastModifiedBy>
  <dcterms:created xsi:type="dcterms:W3CDTF">2014-11-27T00:17:29Z</dcterms:created>
  <dcterms:modified xsi:type="dcterms:W3CDTF">2015-01-05T01:15:55Z</dcterms:modified>
  <cp:category/>
  <cp:version/>
  <cp:contentType/>
  <cp:contentStatus/>
</cp:coreProperties>
</file>