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'30-31'!$A$1:$U$44</definedName>
  </definedNames>
  <calcPr calcMode="manual" fullCalcOnLoad="1"/>
</workbook>
</file>

<file path=xl/sharedStrings.xml><?xml version="1.0" encoding="utf-8"?>
<sst xmlns="http://schemas.openxmlformats.org/spreadsheetml/2006/main" count="115" uniqueCount="91">
  <si>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</si>
  <si>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</si>
  <si>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</si>
  <si>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</si>
  <si>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</si>
  <si>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</si>
  <si>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</si>
  <si>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</si>
  <si>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</si>
  <si>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</si>
  <si>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</si>
  <si>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</si>
  <si>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</si>
  <si>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</si>
  <si>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</si>
  <si>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</si>
  <si>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</si>
  <si>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</si>
  <si>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</si>
  <si>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</si>
  <si>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</si>
  <si>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</si>
  <si>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</si>
  <si>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</si>
  <si>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</si>
  <si>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</si>
  <si>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</si>
  <si>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</si>
  <si>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</si>
  <si>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</si>
  <si>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</si>
  <si>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</si>
  <si>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</si>
  <si>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</si>
  <si>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</si>
  <si>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</si>
  <si>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</si>
  <si>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</si>
  <si>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</si>
  <si>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</si>
  <si>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</si>
  <si>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</si>
  <si>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</si>
  <si>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</si>
  <si>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</si>
  <si>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</si>
  <si>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</si>
  <si>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</si>
  <si>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</si>
  <si>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</si>
  <si>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</si>
  <si>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</si>
  <si>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</si>
  <si>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</si>
  <si>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</si>
  <si>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</si>
  <si>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</si>
  <si>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</si>
  <si>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</si>
  <si>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</si>
  <si>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</si>
  <si>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</si>
  <si>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</si>
  <si>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</si>
  <si>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</si>
  <si>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</si>
  <si>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</si>
  <si>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</si>
  <si>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</si>
  <si>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</si>
  <si>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</si>
  <si>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</si>
  <si>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</si>
  <si>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注・（　　）内は、義務教育学校の数値で、内数である。</t>
  </si>
  <si>
    <t>全 日 制</t>
  </si>
  <si>
    <t>通 信 制</t>
  </si>
  <si>
    <t>　　イ　高等学校等進学状況［公立中学校（公立義務教育学校を含む）］</t>
  </si>
  <si>
    <t>注・29.3から義務教育学校を含む。</t>
  </si>
  <si>
    <t>定 時 制</t>
  </si>
  <si>
    <t>通 信 制</t>
  </si>
  <si>
    <t>　　　　国</t>
  </si>
  <si>
    <t>４　卒業後の状況</t>
  </si>
  <si>
    <t>【100.0】</t>
  </si>
  <si>
    <t>専修学校(一般課程)等入学者(C)</t>
  </si>
  <si>
    <t>(R3.5.1現在 教育政策課調)</t>
  </si>
  <si>
    <t>R3.3
卒業者</t>
  </si>
  <si>
    <t>2年3月</t>
  </si>
  <si>
    <t>令和3年3月進学者</t>
  </si>
  <si>
    <t>国・公立
高    校</t>
  </si>
  <si>
    <t>R2.3</t>
  </si>
  <si>
    <t>H11.3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</si>
</sst>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vertical="center" wrapText="1"/>
    </xf>
    <xf numFmtId="180" fontId="6" fillId="0" borderId="17" xfId="0" applyNumberFormat="1" applyFont="1" applyFill="1" applyBorder="1" applyAlignment="1">
      <alignment vertical="top" wrapText="1"/>
    </xf>
    <xf numFmtId="178" fontId="6" fillId="0" borderId="18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84" fontId="5" fillId="33" borderId="18" xfId="0" applyNumberFormat="1" applyFont="1" applyFill="1" applyBorder="1" applyAlignment="1">
      <alignment horizontal="right"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24" xfId="0" applyNumberFormat="1" applyFont="1" applyFill="1" applyBorder="1" applyAlignment="1">
      <alignment horizontal="right" vertical="center"/>
    </xf>
    <xf numFmtId="180" fontId="5" fillId="33" borderId="11" xfId="0" applyNumberFormat="1" applyFont="1" applyFill="1" applyBorder="1" applyAlignment="1">
      <alignment horizontal="right" vertical="center"/>
    </xf>
    <xf numFmtId="226" fontId="5" fillId="33" borderId="13" xfId="0" applyNumberFormat="1" applyFont="1" applyFill="1" applyBorder="1" applyAlignment="1">
      <alignment horizontal="right" vertical="center"/>
    </xf>
    <xf numFmtId="180" fontId="5" fillId="33" borderId="12" xfId="0" applyNumberFormat="1" applyFont="1" applyFill="1" applyBorder="1" applyAlignment="1">
      <alignment horizontal="right" vertical="center"/>
    </xf>
    <xf numFmtId="226" fontId="5" fillId="33" borderId="11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horizontal="right" vertical="center"/>
    </xf>
    <xf numFmtId="226" fontId="5" fillId="33" borderId="12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226" fontId="5" fillId="33" borderId="24" xfId="0" applyNumberFormat="1" applyFont="1" applyFill="1" applyBorder="1" applyAlignment="1">
      <alignment horizontal="right" vertical="center"/>
    </xf>
    <xf numFmtId="180" fontId="5" fillId="33" borderId="13" xfId="0" applyNumberFormat="1" applyFont="1" applyFill="1" applyBorder="1" applyAlignment="1">
      <alignment horizontal="right" vertical="center"/>
    </xf>
    <xf numFmtId="0" fontId="5" fillId="33" borderId="24" xfId="0" applyNumberFormat="1" applyFont="1" applyFill="1" applyBorder="1" applyAlignment="1">
      <alignment horizontal="right" vertical="center"/>
    </xf>
    <xf numFmtId="179" fontId="5" fillId="33" borderId="13" xfId="0" applyNumberFormat="1" applyFont="1" applyFill="1" applyBorder="1" applyAlignment="1">
      <alignment horizontal="right" vertical="center"/>
    </xf>
    <xf numFmtId="180" fontId="5" fillId="33" borderId="25" xfId="0" applyNumberFormat="1" applyFont="1" applyFill="1" applyBorder="1" applyAlignment="1">
      <alignment horizontal="right" vertical="center"/>
    </xf>
    <xf numFmtId="180" fontId="5" fillId="33" borderId="26" xfId="0" applyNumberFormat="1" applyFont="1" applyFill="1" applyBorder="1" applyAlignment="1">
      <alignment horizontal="right" vertical="center"/>
    </xf>
    <xf numFmtId="226" fontId="5" fillId="33" borderId="25" xfId="0" applyNumberFormat="1" applyFont="1" applyFill="1" applyBorder="1" applyAlignment="1">
      <alignment horizontal="right" vertical="center"/>
    </xf>
    <xf numFmtId="180" fontId="5" fillId="33" borderId="27" xfId="0" applyNumberFormat="1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right" vertical="center"/>
    </xf>
    <xf numFmtId="227" fontId="10" fillId="0" borderId="11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226" fontId="6" fillId="0" borderId="17" xfId="0" applyNumberFormat="1" applyFont="1" applyFill="1" applyBorder="1" applyAlignment="1">
      <alignment horizontal="right" vertical="center"/>
    </xf>
    <xf numFmtId="226" fontId="6" fillId="0" borderId="18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26" fontId="6" fillId="0" borderId="21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226" fontId="6" fillId="0" borderId="45" xfId="0" applyNumberFormat="1" applyFont="1" applyFill="1" applyBorder="1" applyAlignment="1">
      <alignment horizontal="center" vertical="center"/>
    </xf>
    <xf numFmtId="226" fontId="6" fillId="0" borderId="46" xfId="0" applyNumberFormat="1" applyFont="1" applyFill="1" applyBorder="1" applyAlignment="1">
      <alignment horizontal="center" vertical="center"/>
    </xf>
    <xf numFmtId="226" fontId="6" fillId="0" borderId="47" xfId="0" applyNumberFormat="1" applyFont="1" applyFill="1" applyBorder="1" applyAlignment="1">
      <alignment horizontal="center" vertical="center"/>
    </xf>
    <xf numFmtId="226" fontId="6" fillId="0" borderId="3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84" fontId="10" fillId="0" borderId="17" xfId="0" applyNumberFormat="1" applyFont="1" applyFill="1" applyBorder="1" applyAlignment="1">
      <alignment horizontal="right" vertical="center"/>
    </xf>
    <xf numFmtId="184" fontId="10" fillId="0" borderId="31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9" fontId="10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226" fontId="6" fillId="0" borderId="3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horizontal="right" vertical="center"/>
    </xf>
    <xf numFmtId="226" fontId="5" fillId="33" borderId="17" xfId="0" applyNumberFormat="1" applyFont="1" applyFill="1" applyBorder="1" applyAlignment="1">
      <alignment horizontal="right" vertical="center"/>
    </xf>
    <xf numFmtId="226" fontId="5" fillId="33" borderId="18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84" fontId="5" fillId="33" borderId="20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/>
    </xf>
    <xf numFmtId="226" fontId="5" fillId="33" borderId="19" xfId="0" applyNumberFormat="1" applyFont="1" applyFill="1" applyBorder="1" applyAlignment="1">
      <alignment horizontal="right" vertical="center"/>
    </xf>
    <xf numFmtId="226" fontId="5" fillId="33" borderId="10" xfId="0" applyNumberFormat="1" applyFont="1" applyFill="1" applyBorder="1" applyAlignment="1">
      <alignment horizontal="right" vertical="center"/>
    </xf>
    <xf numFmtId="226" fontId="5" fillId="33" borderId="20" xfId="0" applyNumberFormat="1" applyFont="1" applyFill="1" applyBorder="1" applyAlignment="1">
      <alignment horizontal="right" vertical="center"/>
    </xf>
    <xf numFmtId="226" fontId="5" fillId="33" borderId="24" xfId="0" applyNumberFormat="1" applyFont="1" applyFill="1" applyBorder="1" applyAlignment="1">
      <alignment horizontal="right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36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180" fontId="5" fillId="33" borderId="20" xfId="0" applyNumberFormat="1" applyFont="1" applyFill="1" applyBorder="1" applyAlignment="1">
      <alignment horizontal="right" vertical="center"/>
    </xf>
    <xf numFmtId="180" fontId="5" fillId="33" borderId="24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right" vertical="center"/>
    </xf>
    <xf numFmtId="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vertical="center"/>
    </xf>
    <xf numFmtId="180" fontId="5" fillId="33" borderId="1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horizontal="right" vertical="center"/>
    </xf>
    <xf numFmtId="184" fontId="5" fillId="0" borderId="32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84" fontId="5" fillId="33" borderId="32" xfId="0" applyNumberFormat="1" applyFont="1" applyFill="1" applyBorder="1" applyAlignment="1">
      <alignment horizontal="right" vertical="center"/>
    </xf>
    <xf numFmtId="184" fontId="5" fillId="33" borderId="33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zoomScale="205" zoomScaleNormal="205" workbookViewId="0" topLeftCell="A1">
      <selection activeCell="R30" sqref="R30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4.87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81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70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29</v>
      </c>
      <c r="G3" s="6"/>
      <c r="H3" s="6"/>
      <c r="I3" s="6"/>
      <c r="J3" s="6"/>
      <c r="K3" s="6"/>
      <c r="L3" s="6"/>
      <c r="M3" s="20" t="s">
        <v>84</v>
      </c>
    </row>
    <row r="4" spans="1:13" s="2" customFormat="1" ht="18.75" customHeight="1">
      <c r="A4" s="101" t="s">
        <v>11</v>
      </c>
      <c r="B4" s="96"/>
      <c r="C4" s="96"/>
      <c r="D4" s="96"/>
      <c r="E4" s="96"/>
      <c r="F4" s="21" t="s">
        <v>85</v>
      </c>
      <c r="G4" s="96" t="s">
        <v>12</v>
      </c>
      <c r="H4" s="96"/>
      <c r="I4" s="96" t="s">
        <v>13</v>
      </c>
      <c r="J4" s="96"/>
      <c r="K4" s="96"/>
      <c r="L4" s="96" t="s">
        <v>14</v>
      </c>
      <c r="M4" s="99"/>
    </row>
    <row r="5" spans="1:13" ht="7.5" customHeight="1">
      <c r="A5" s="102"/>
      <c r="B5" s="103"/>
      <c r="C5" s="103"/>
      <c r="D5" s="103"/>
      <c r="E5" s="103"/>
      <c r="F5" s="22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3" t="s">
        <v>17</v>
      </c>
    </row>
    <row r="6" spans="1:13" ht="8.25" customHeight="1">
      <c r="A6" s="104" t="s">
        <v>59</v>
      </c>
      <c r="B6" s="104"/>
      <c r="C6" s="104"/>
      <c r="D6" s="104"/>
      <c r="E6" s="105"/>
      <c r="F6" s="27">
        <f>G6+H6+I6+L6+M6</f>
        <v>51415</v>
      </c>
      <c r="G6" s="94">
        <v>74</v>
      </c>
      <c r="H6" s="94">
        <v>75</v>
      </c>
      <c r="I6" s="34">
        <f>SUM(J6:K6)</f>
        <v>48038</v>
      </c>
      <c r="J6" s="35">
        <v>24651</v>
      </c>
      <c r="K6" s="35">
        <v>23387</v>
      </c>
      <c r="L6" s="93">
        <v>1627</v>
      </c>
      <c r="M6" s="100">
        <v>1601</v>
      </c>
    </row>
    <row r="7" spans="1:13" ht="7.5" customHeight="1">
      <c r="A7" s="106"/>
      <c r="B7" s="106"/>
      <c r="C7" s="106"/>
      <c r="D7" s="106"/>
      <c r="E7" s="107"/>
      <c r="F7" s="28" t="s">
        <v>82</v>
      </c>
      <c r="G7" s="95"/>
      <c r="H7" s="95"/>
      <c r="I7" s="36">
        <f aca="true" t="shared" si="0" ref="I7:I17">SUM(J7:K7)</f>
        <v>118</v>
      </c>
      <c r="J7" s="36">
        <v>56</v>
      </c>
      <c r="K7" s="36">
        <v>62</v>
      </c>
      <c r="L7" s="93"/>
      <c r="M7" s="100"/>
    </row>
    <row r="8" spans="1:13" ht="8.25" customHeight="1">
      <c r="A8" s="122" t="s">
        <v>64</v>
      </c>
      <c r="B8" s="104" t="s">
        <v>60</v>
      </c>
      <c r="C8" s="104"/>
      <c r="D8" s="104"/>
      <c r="E8" s="105"/>
      <c r="F8" s="27">
        <f>G8+H8+I8+L8+M8</f>
        <v>50904</v>
      </c>
      <c r="G8" s="93">
        <v>72</v>
      </c>
      <c r="H8" s="93">
        <v>75</v>
      </c>
      <c r="I8" s="37">
        <f t="shared" si="0"/>
        <v>47541</v>
      </c>
      <c r="J8" s="37">
        <f>24320+J9</f>
        <v>24376</v>
      </c>
      <c r="K8" s="37">
        <f>23105+K9</f>
        <v>23165</v>
      </c>
      <c r="L8" s="93">
        <v>1621</v>
      </c>
      <c r="M8" s="100">
        <v>1595</v>
      </c>
    </row>
    <row r="9" spans="1:13" ht="7.5" customHeight="1">
      <c r="A9" s="122"/>
      <c r="B9" s="106"/>
      <c r="C9" s="106"/>
      <c r="D9" s="106"/>
      <c r="E9" s="107"/>
      <c r="F9" s="90">
        <f>F8/$F$6*100</f>
        <v>99.00612661674609</v>
      </c>
      <c r="G9" s="93"/>
      <c r="H9" s="93"/>
      <c r="I9" s="36">
        <f t="shared" si="0"/>
        <v>116</v>
      </c>
      <c r="J9" s="36">
        <v>56</v>
      </c>
      <c r="K9" s="36">
        <v>60</v>
      </c>
      <c r="L9" s="93"/>
      <c r="M9" s="100"/>
    </row>
    <row r="10" spans="1:13" ht="8.25" customHeight="1">
      <c r="A10" s="123"/>
      <c r="B10" s="116" t="s">
        <v>2</v>
      </c>
      <c r="C10" s="114" t="s">
        <v>8</v>
      </c>
      <c r="D10" s="114"/>
      <c r="E10" s="115"/>
      <c r="F10" s="27">
        <f>G10+H10+I10+L10+M10</f>
        <v>47562</v>
      </c>
      <c r="G10" s="93">
        <v>66</v>
      </c>
      <c r="H10" s="93">
        <v>73</v>
      </c>
      <c r="I10" s="37">
        <f t="shared" si="0"/>
        <v>44263</v>
      </c>
      <c r="J10" s="37">
        <f>22479+J11</f>
        <v>22524</v>
      </c>
      <c r="K10" s="37">
        <f>21687+K11</f>
        <v>21739</v>
      </c>
      <c r="L10" s="93">
        <v>1595</v>
      </c>
      <c r="M10" s="100">
        <v>1565</v>
      </c>
    </row>
    <row r="11" spans="1:13" ht="7.5" customHeight="1">
      <c r="A11" s="123"/>
      <c r="B11" s="116"/>
      <c r="C11" s="114"/>
      <c r="D11" s="114"/>
      <c r="E11" s="115"/>
      <c r="F11" s="90">
        <f>F10/$F$6*100</f>
        <v>92.50607799280365</v>
      </c>
      <c r="G11" s="93"/>
      <c r="H11" s="93"/>
      <c r="I11" s="36">
        <f t="shared" si="0"/>
        <v>97</v>
      </c>
      <c r="J11" s="36">
        <v>45</v>
      </c>
      <c r="K11" s="36">
        <v>52</v>
      </c>
      <c r="L11" s="93"/>
      <c r="M11" s="100"/>
    </row>
    <row r="12" spans="1:13" ht="7.5" customHeight="1">
      <c r="A12" s="123"/>
      <c r="B12" s="116"/>
      <c r="C12" s="114" t="s">
        <v>9</v>
      </c>
      <c r="D12" s="114"/>
      <c r="E12" s="115"/>
      <c r="F12" s="27">
        <f>G12+H12+I12+L12+M12</f>
        <v>628</v>
      </c>
      <c r="G12" s="97">
        <v>0</v>
      </c>
      <c r="H12" s="97">
        <v>0</v>
      </c>
      <c r="I12" s="37">
        <f t="shared" si="0"/>
        <v>627</v>
      </c>
      <c r="J12" s="94">
        <v>359</v>
      </c>
      <c r="K12" s="37">
        <f>267+K13</f>
        <v>268</v>
      </c>
      <c r="L12" s="97">
        <v>0</v>
      </c>
      <c r="M12" s="110">
        <v>1</v>
      </c>
    </row>
    <row r="13" spans="1:13" ht="7.5" customHeight="1">
      <c r="A13" s="123"/>
      <c r="B13" s="116"/>
      <c r="C13" s="114"/>
      <c r="D13" s="114"/>
      <c r="E13" s="115"/>
      <c r="F13" s="28">
        <f>F12/$F$6*100</f>
        <v>1.2214334338228143</v>
      </c>
      <c r="G13" s="98"/>
      <c r="H13" s="98"/>
      <c r="I13" s="36">
        <f t="shared" si="0"/>
        <v>1</v>
      </c>
      <c r="J13" s="95"/>
      <c r="K13" s="36">
        <v>1</v>
      </c>
      <c r="L13" s="98"/>
      <c r="M13" s="111"/>
    </row>
    <row r="14" spans="1:13" ht="7.5" customHeight="1">
      <c r="A14" s="123"/>
      <c r="B14" s="116"/>
      <c r="C14" s="114" t="s">
        <v>10</v>
      </c>
      <c r="D14" s="114"/>
      <c r="E14" s="115"/>
      <c r="F14" s="27">
        <f>G14+H14+I14+L14+M14</f>
        <v>1878</v>
      </c>
      <c r="G14" s="112">
        <v>3</v>
      </c>
      <c r="H14" s="93">
        <v>2</v>
      </c>
      <c r="I14" s="37">
        <f t="shared" si="0"/>
        <v>1823</v>
      </c>
      <c r="J14" s="37">
        <f>901+J15</f>
        <v>912</v>
      </c>
      <c r="K14" s="37">
        <f>906+K15</f>
        <v>911</v>
      </c>
      <c r="L14" s="93">
        <v>22</v>
      </c>
      <c r="M14" s="100">
        <v>28</v>
      </c>
    </row>
    <row r="15" spans="1:13" ht="7.5" customHeight="1">
      <c r="A15" s="123"/>
      <c r="B15" s="116"/>
      <c r="C15" s="114"/>
      <c r="D15" s="114"/>
      <c r="E15" s="115"/>
      <c r="F15" s="28">
        <f>F14/$F$6*100</f>
        <v>3.6526305552854224</v>
      </c>
      <c r="G15" s="113"/>
      <c r="H15" s="93"/>
      <c r="I15" s="36">
        <f t="shared" si="0"/>
        <v>16</v>
      </c>
      <c r="J15" s="36">
        <v>11</v>
      </c>
      <c r="K15" s="36">
        <v>5</v>
      </c>
      <c r="L15" s="93"/>
      <c r="M15" s="100"/>
    </row>
    <row r="16" spans="1:13" ht="7.5" customHeight="1">
      <c r="A16" s="123"/>
      <c r="B16" s="117" t="s">
        <v>57</v>
      </c>
      <c r="C16" s="117"/>
      <c r="D16" s="117"/>
      <c r="E16" s="118"/>
      <c r="F16" s="27">
        <f>SUM(G16:M17)</f>
        <v>1</v>
      </c>
      <c r="G16" s="97">
        <v>0</v>
      </c>
      <c r="H16" s="97">
        <v>0</v>
      </c>
      <c r="I16" s="97">
        <f t="shared" si="0"/>
        <v>0</v>
      </c>
      <c r="J16" s="97">
        <v>0</v>
      </c>
      <c r="K16" s="108">
        <v>0</v>
      </c>
      <c r="L16" s="97">
        <v>0</v>
      </c>
      <c r="M16" s="110">
        <v>1</v>
      </c>
    </row>
    <row r="17" spans="1:13" ht="7.5" customHeight="1">
      <c r="A17" s="123"/>
      <c r="B17" s="117"/>
      <c r="C17" s="117"/>
      <c r="D17" s="117"/>
      <c r="E17" s="118"/>
      <c r="F17" s="28">
        <f>F16/$F$6*100</f>
        <v>0.0019449576971700864</v>
      </c>
      <c r="G17" s="98"/>
      <c r="H17" s="98"/>
      <c r="I17" s="98">
        <f t="shared" si="0"/>
        <v>0</v>
      </c>
      <c r="J17" s="98"/>
      <c r="K17" s="109"/>
      <c r="L17" s="98"/>
      <c r="M17" s="111"/>
    </row>
    <row r="18" spans="1:13" ht="7.5" customHeight="1">
      <c r="A18" s="123"/>
      <c r="B18" s="117" t="s">
        <v>26</v>
      </c>
      <c r="C18" s="117"/>
      <c r="D18" s="117"/>
      <c r="E18" s="118"/>
      <c r="F18" s="27">
        <f>G18+H18+I18+L18+M18</f>
        <v>599</v>
      </c>
      <c r="G18" s="97">
        <v>0</v>
      </c>
      <c r="H18" s="97">
        <v>0</v>
      </c>
      <c r="I18" s="37">
        <f>SUM(J18:K18)</f>
        <v>599</v>
      </c>
      <c r="J18" s="93">
        <v>391</v>
      </c>
      <c r="K18" s="37">
        <f>206+K19</f>
        <v>208</v>
      </c>
      <c r="L18" s="97">
        <v>0</v>
      </c>
      <c r="M18" s="108">
        <v>0</v>
      </c>
    </row>
    <row r="19" spans="1:13" ht="7.5" customHeight="1">
      <c r="A19" s="123"/>
      <c r="B19" s="117"/>
      <c r="C19" s="117"/>
      <c r="D19" s="117"/>
      <c r="E19" s="118"/>
      <c r="F19" s="28">
        <f>F18/$F$6*100</f>
        <v>1.1650296606048818</v>
      </c>
      <c r="G19" s="98"/>
      <c r="H19" s="98"/>
      <c r="I19" s="36">
        <f>SUM(J19:K19)</f>
        <v>2</v>
      </c>
      <c r="J19" s="93"/>
      <c r="K19" s="36">
        <v>2</v>
      </c>
      <c r="L19" s="98"/>
      <c r="M19" s="109"/>
    </row>
    <row r="20" spans="1:13" ht="7.5" customHeight="1">
      <c r="A20" s="123"/>
      <c r="B20" s="117" t="s">
        <v>58</v>
      </c>
      <c r="C20" s="117"/>
      <c r="D20" s="117"/>
      <c r="E20" s="118"/>
      <c r="F20" s="27">
        <f>G20+H20+I20+L20+M20</f>
        <v>236</v>
      </c>
      <c r="G20" s="112">
        <v>3</v>
      </c>
      <c r="H20" s="97">
        <v>0</v>
      </c>
      <c r="I20" s="93">
        <f aca="true" t="shared" si="1" ref="I20:I29">SUM(J20:K20)</f>
        <v>229</v>
      </c>
      <c r="J20" s="93">
        <v>190</v>
      </c>
      <c r="K20" s="93">
        <v>39</v>
      </c>
      <c r="L20" s="93">
        <v>4</v>
      </c>
      <c r="M20" s="108">
        <v>0</v>
      </c>
    </row>
    <row r="21" spans="1:13" ht="7.5" customHeight="1">
      <c r="A21" s="123"/>
      <c r="B21" s="117"/>
      <c r="C21" s="117"/>
      <c r="D21" s="117"/>
      <c r="E21" s="118"/>
      <c r="F21" s="28">
        <f>F20/$F$6*100</f>
        <v>0.4590100165321404</v>
      </c>
      <c r="G21" s="113"/>
      <c r="H21" s="98"/>
      <c r="I21" s="93">
        <f t="shared" si="1"/>
        <v>0</v>
      </c>
      <c r="J21" s="93"/>
      <c r="K21" s="93"/>
      <c r="L21" s="93"/>
      <c r="M21" s="109"/>
    </row>
    <row r="22" spans="1:13" ht="7.5" customHeight="1">
      <c r="A22" s="124" t="s">
        <v>27</v>
      </c>
      <c r="B22" s="124"/>
      <c r="C22" s="124"/>
      <c r="D22" s="124"/>
      <c r="E22" s="125"/>
      <c r="F22" s="27">
        <f>G22+H22+I22+L22+M22</f>
        <v>87</v>
      </c>
      <c r="G22" s="97">
        <v>0</v>
      </c>
      <c r="H22" s="97">
        <v>0</v>
      </c>
      <c r="I22" s="37">
        <f t="shared" si="1"/>
        <v>86</v>
      </c>
      <c r="J22" s="93">
        <v>42</v>
      </c>
      <c r="K22" s="37">
        <v>44</v>
      </c>
      <c r="L22" s="108">
        <v>0</v>
      </c>
      <c r="M22" s="100">
        <v>1</v>
      </c>
    </row>
    <row r="23" spans="1:13" ht="7.5" customHeight="1">
      <c r="A23" s="126"/>
      <c r="B23" s="126"/>
      <c r="C23" s="126"/>
      <c r="D23" s="126"/>
      <c r="E23" s="127"/>
      <c r="F23" s="28">
        <f>F22/$F$6*100</f>
        <v>0.16921131965379752</v>
      </c>
      <c r="G23" s="98"/>
      <c r="H23" s="98"/>
      <c r="I23" s="36">
        <f t="shared" si="1"/>
        <v>1</v>
      </c>
      <c r="J23" s="93"/>
      <c r="K23" s="36">
        <v>1</v>
      </c>
      <c r="L23" s="109"/>
      <c r="M23" s="100"/>
    </row>
    <row r="24" spans="1:13" ht="7.5" customHeight="1">
      <c r="A24" s="119" t="s">
        <v>83</v>
      </c>
      <c r="B24" s="120"/>
      <c r="C24" s="120"/>
      <c r="D24" s="120"/>
      <c r="E24" s="121"/>
      <c r="F24" s="27">
        <f>G24+H24+I24+L24+M24</f>
        <v>28</v>
      </c>
      <c r="G24" s="97">
        <v>0</v>
      </c>
      <c r="H24" s="97">
        <v>0</v>
      </c>
      <c r="I24" s="93">
        <f t="shared" si="1"/>
        <v>28</v>
      </c>
      <c r="J24" s="93">
        <v>9</v>
      </c>
      <c r="K24" s="93">
        <v>19</v>
      </c>
      <c r="L24" s="97">
        <v>0</v>
      </c>
      <c r="M24" s="108">
        <v>0</v>
      </c>
    </row>
    <row r="25" spans="1:13" ht="7.5" customHeight="1">
      <c r="A25" s="119"/>
      <c r="B25" s="120"/>
      <c r="C25" s="120"/>
      <c r="D25" s="120"/>
      <c r="E25" s="121"/>
      <c r="F25" s="28">
        <f>F24/$F$6*100</f>
        <v>0.05445881552076243</v>
      </c>
      <c r="G25" s="98"/>
      <c r="H25" s="98"/>
      <c r="I25" s="93">
        <f t="shared" si="1"/>
        <v>0</v>
      </c>
      <c r="J25" s="93"/>
      <c r="K25" s="93"/>
      <c r="L25" s="98"/>
      <c r="M25" s="109"/>
    </row>
    <row r="26" spans="1:13" ht="7.5" customHeight="1">
      <c r="A26" s="134" t="s">
        <v>63</v>
      </c>
      <c r="B26" s="134"/>
      <c r="C26" s="134"/>
      <c r="D26" s="134"/>
      <c r="E26" s="135"/>
      <c r="F26" s="27">
        <f>G26+H26+I26+L26+M26</f>
        <v>17</v>
      </c>
      <c r="G26" s="97">
        <v>0</v>
      </c>
      <c r="H26" s="97">
        <v>0</v>
      </c>
      <c r="I26" s="128">
        <f t="shared" si="1"/>
        <v>17</v>
      </c>
      <c r="J26" s="128">
        <v>16</v>
      </c>
      <c r="K26" s="129">
        <v>1</v>
      </c>
      <c r="L26" s="97">
        <v>0</v>
      </c>
      <c r="M26" s="108">
        <v>0</v>
      </c>
    </row>
    <row r="27" spans="1:13" ht="7.5" customHeight="1">
      <c r="A27" s="136"/>
      <c r="B27" s="136"/>
      <c r="C27" s="136"/>
      <c r="D27" s="136"/>
      <c r="E27" s="137"/>
      <c r="F27" s="28">
        <f>F26/$F$6*100</f>
        <v>0.03306428085189147</v>
      </c>
      <c r="G27" s="98"/>
      <c r="H27" s="98"/>
      <c r="I27" s="128">
        <f t="shared" si="1"/>
        <v>0</v>
      </c>
      <c r="J27" s="128"/>
      <c r="K27" s="130"/>
      <c r="L27" s="98"/>
      <c r="M27" s="109"/>
    </row>
    <row r="28" spans="1:13" ht="7.5" customHeight="1">
      <c r="A28" s="104" t="s">
        <v>61</v>
      </c>
      <c r="B28" s="104"/>
      <c r="C28" s="104"/>
      <c r="D28" s="104"/>
      <c r="E28" s="105"/>
      <c r="F28" s="27">
        <f>G28+H28+I28+L28+M28</f>
        <v>54</v>
      </c>
      <c r="G28" s="97">
        <v>0</v>
      </c>
      <c r="H28" s="97">
        <v>0</v>
      </c>
      <c r="I28" s="93">
        <f t="shared" si="1"/>
        <v>54</v>
      </c>
      <c r="J28" s="93">
        <v>45</v>
      </c>
      <c r="K28" s="93">
        <v>9</v>
      </c>
      <c r="L28" s="97">
        <v>0</v>
      </c>
      <c r="M28" s="108">
        <v>0</v>
      </c>
    </row>
    <row r="29" spans="1:13" ht="7.5" customHeight="1">
      <c r="A29" s="106"/>
      <c r="B29" s="106"/>
      <c r="C29" s="106"/>
      <c r="D29" s="106"/>
      <c r="E29" s="107"/>
      <c r="F29" s="28">
        <f>F28/$F$6*100</f>
        <v>0.10502771564718469</v>
      </c>
      <c r="G29" s="98"/>
      <c r="H29" s="98"/>
      <c r="I29" s="93">
        <f t="shared" si="1"/>
        <v>0</v>
      </c>
      <c r="J29" s="93"/>
      <c r="K29" s="93"/>
      <c r="L29" s="98"/>
      <c r="M29" s="109"/>
    </row>
    <row r="30" spans="1:13" ht="7.5" customHeight="1">
      <c r="A30" s="146" t="s">
        <v>28</v>
      </c>
      <c r="B30" s="145" t="s">
        <v>7</v>
      </c>
      <c r="C30" s="114"/>
      <c r="D30" s="114"/>
      <c r="E30" s="114"/>
      <c r="F30" s="27">
        <f>G30+H30+I30+L30+M30</f>
        <v>324</v>
      </c>
      <c r="G30" s="112">
        <v>2</v>
      </c>
      <c r="H30" s="97">
        <v>0</v>
      </c>
      <c r="I30" s="37">
        <f>SUM(J30:K30)</f>
        <v>311</v>
      </c>
      <c r="J30" s="94">
        <v>163</v>
      </c>
      <c r="K30" s="37">
        <f>147+K31</f>
        <v>148</v>
      </c>
      <c r="L30" s="94">
        <v>6</v>
      </c>
      <c r="M30" s="132">
        <v>5</v>
      </c>
    </row>
    <row r="31" spans="1:13" ht="7.5" customHeight="1">
      <c r="A31" s="146"/>
      <c r="B31" s="145"/>
      <c r="C31" s="114"/>
      <c r="D31" s="114"/>
      <c r="E31" s="114"/>
      <c r="F31" s="28">
        <f>F30/$F$6*100</f>
        <v>0.630166293883108</v>
      </c>
      <c r="G31" s="113"/>
      <c r="H31" s="98"/>
      <c r="I31" s="36">
        <f>SUM(J31:K31)</f>
        <v>1</v>
      </c>
      <c r="J31" s="95"/>
      <c r="K31" s="36">
        <v>1</v>
      </c>
      <c r="L31" s="95"/>
      <c r="M31" s="133"/>
    </row>
    <row r="32" spans="1:13" ht="6.75" customHeight="1">
      <c r="A32" s="147"/>
      <c r="B32" s="114" t="s">
        <v>18</v>
      </c>
      <c r="C32" s="114"/>
      <c r="D32" s="114"/>
      <c r="E32" s="115"/>
      <c r="F32" s="148"/>
      <c r="G32" s="97">
        <v>0</v>
      </c>
      <c r="H32" s="97">
        <v>0</v>
      </c>
      <c r="I32" s="131">
        <f aca="true" t="shared" si="2" ref="I32:I37">SUM(J32:K32)</f>
        <v>176</v>
      </c>
      <c r="J32" s="93">
        <v>84</v>
      </c>
      <c r="K32" s="93">
        <v>92</v>
      </c>
      <c r="L32" s="139"/>
      <c r="M32" s="140"/>
    </row>
    <row r="33" spans="1:13" ht="6.75" customHeight="1">
      <c r="A33" s="147"/>
      <c r="B33" s="114"/>
      <c r="C33" s="114"/>
      <c r="D33" s="114"/>
      <c r="E33" s="115"/>
      <c r="F33" s="149"/>
      <c r="G33" s="98"/>
      <c r="H33" s="98"/>
      <c r="I33" s="131">
        <f t="shared" si="2"/>
        <v>0</v>
      </c>
      <c r="J33" s="93"/>
      <c r="K33" s="93"/>
      <c r="L33" s="141"/>
      <c r="M33" s="142"/>
    </row>
    <row r="34" spans="1:13" ht="6.75" customHeight="1">
      <c r="A34" s="147"/>
      <c r="B34" s="114" t="s">
        <v>19</v>
      </c>
      <c r="C34" s="114"/>
      <c r="D34" s="114"/>
      <c r="E34" s="115"/>
      <c r="F34" s="149"/>
      <c r="G34" s="97">
        <v>0</v>
      </c>
      <c r="H34" s="97">
        <v>0</v>
      </c>
      <c r="I34" s="131">
        <f t="shared" si="2"/>
        <v>47</v>
      </c>
      <c r="J34" s="93">
        <v>29</v>
      </c>
      <c r="K34" s="93">
        <v>18</v>
      </c>
      <c r="L34" s="141"/>
      <c r="M34" s="142"/>
    </row>
    <row r="35" spans="1:13" ht="6.75" customHeight="1">
      <c r="A35" s="147"/>
      <c r="B35" s="114"/>
      <c r="C35" s="114"/>
      <c r="D35" s="114"/>
      <c r="E35" s="115"/>
      <c r="F35" s="149"/>
      <c r="G35" s="98"/>
      <c r="H35" s="98"/>
      <c r="I35" s="131">
        <f t="shared" si="2"/>
        <v>0</v>
      </c>
      <c r="J35" s="93"/>
      <c r="K35" s="93"/>
      <c r="L35" s="141"/>
      <c r="M35" s="142"/>
    </row>
    <row r="36" spans="1:13" ht="6.75" customHeight="1">
      <c r="A36" s="147"/>
      <c r="B36" s="114" t="s">
        <v>20</v>
      </c>
      <c r="C36" s="114"/>
      <c r="D36" s="114"/>
      <c r="E36" s="115"/>
      <c r="F36" s="149"/>
      <c r="G36" s="97">
        <v>0</v>
      </c>
      <c r="H36" s="97">
        <v>0</v>
      </c>
      <c r="I36" s="131">
        <f t="shared" si="2"/>
        <v>8</v>
      </c>
      <c r="J36" s="93">
        <v>3</v>
      </c>
      <c r="K36" s="93">
        <v>5</v>
      </c>
      <c r="L36" s="141"/>
      <c r="M36" s="142"/>
    </row>
    <row r="37" spans="1:13" ht="6.75" customHeight="1">
      <c r="A37" s="147"/>
      <c r="B37" s="114"/>
      <c r="C37" s="114"/>
      <c r="D37" s="114"/>
      <c r="E37" s="115"/>
      <c r="F37" s="149"/>
      <c r="G37" s="98"/>
      <c r="H37" s="98"/>
      <c r="I37" s="131">
        <f t="shared" si="2"/>
        <v>0</v>
      </c>
      <c r="J37" s="93"/>
      <c r="K37" s="93"/>
      <c r="L37" s="141"/>
      <c r="M37" s="142"/>
    </row>
    <row r="38" spans="1:13" ht="6.75" customHeight="1">
      <c r="A38" s="147"/>
      <c r="B38" s="114" t="s">
        <v>21</v>
      </c>
      <c r="C38" s="114"/>
      <c r="D38" s="114"/>
      <c r="E38" s="115"/>
      <c r="F38" s="149"/>
      <c r="G38" s="112">
        <v>2</v>
      </c>
      <c r="H38" s="97">
        <v>0</v>
      </c>
      <c r="I38" s="94">
        <f>SUM(J38:K38)</f>
        <v>30</v>
      </c>
      <c r="J38" s="94">
        <v>13</v>
      </c>
      <c r="K38" s="94">
        <v>17</v>
      </c>
      <c r="L38" s="141"/>
      <c r="M38" s="142"/>
    </row>
    <row r="39" spans="1:13" ht="6.75" customHeight="1">
      <c r="A39" s="147"/>
      <c r="B39" s="114"/>
      <c r="C39" s="114"/>
      <c r="D39" s="114"/>
      <c r="E39" s="115"/>
      <c r="F39" s="149"/>
      <c r="G39" s="113"/>
      <c r="H39" s="98"/>
      <c r="I39" s="95"/>
      <c r="J39" s="95"/>
      <c r="K39" s="95"/>
      <c r="L39" s="141"/>
      <c r="M39" s="142"/>
    </row>
    <row r="40" spans="1:13" ht="6.75" customHeight="1">
      <c r="A40" s="147"/>
      <c r="B40" s="114" t="s">
        <v>22</v>
      </c>
      <c r="C40" s="114"/>
      <c r="D40" s="114"/>
      <c r="E40" s="115"/>
      <c r="F40" s="149"/>
      <c r="G40" s="97">
        <v>0</v>
      </c>
      <c r="H40" s="97">
        <v>0</v>
      </c>
      <c r="I40" s="131">
        <f aca="true" t="shared" si="3" ref="I40:I55">SUM(J40:K40)</f>
        <v>6</v>
      </c>
      <c r="J40" s="93">
        <v>5</v>
      </c>
      <c r="K40" s="129">
        <v>1</v>
      </c>
      <c r="L40" s="141"/>
      <c r="M40" s="142"/>
    </row>
    <row r="41" spans="1:13" ht="6.75" customHeight="1">
      <c r="A41" s="147"/>
      <c r="B41" s="114"/>
      <c r="C41" s="114"/>
      <c r="D41" s="114"/>
      <c r="E41" s="115"/>
      <c r="F41" s="149"/>
      <c r="G41" s="98"/>
      <c r="H41" s="98"/>
      <c r="I41" s="131">
        <f t="shared" si="3"/>
        <v>0</v>
      </c>
      <c r="J41" s="93"/>
      <c r="K41" s="130"/>
      <c r="L41" s="141"/>
      <c r="M41" s="142"/>
    </row>
    <row r="42" spans="1:13" ht="6.75" customHeight="1">
      <c r="A42" s="147"/>
      <c r="B42" s="114" t="s">
        <v>23</v>
      </c>
      <c r="C42" s="114"/>
      <c r="D42" s="114"/>
      <c r="E42" s="115"/>
      <c r="F42" s="149"/>
      <c r="G42" s="97">
        <v>0</v>
      </c>
      <c r="H42" s="97">
        <v>0</v>
      </c>
      <c r="I42" s="37">
        <f>SUM(J42:K42)</f>
        <v>44</v>
      </c>
      <c r="J42" s="93">
        <v>29</v>
      </c>
      <c r="K42" s="37">
        <f>14+K43</f>
        <v>15</v>
      </c>
      <c r="L42" s="141"/>
      <c r="M42" s="142"/>
    </row>
    <row r="43" spans="1:13" ht="6.75" customHeight="1">
      <c r="A43" s="147"/>
      <c r="B43" s="114"/>
      <c r="C43" s="114"/>
      <c r="D43" s="114"/>
      <c r="E43" s="115"/>
      <c r="F43" s="150"/>
      <c r="G43" s="98"/>
      <c r="H43" s="98"/>
      <c r="I43" s="36">
        <f>SUM(J43:K43)</f>
        <v>1</v>
      </c>
      <c r="J43" s="93"/>
      <c r="K43" s="36">
        <v>1</v>
      </c>
      <c r="L43" s="143"/>
      <c r="M43" s="144"/>
    </row>
    <row r="44" spans="1:13" ht="7.5" customHeight="1">
      <c r="A44" s="145" t="s">
        <v>56</v>
      </c>
      <c r="B44" s="114"/>
      <c r="C44" s="114"/>
      <c r="D44" s="114"/>
      <c r="E44" s="115"/>
      <c r="F44" s="27">
        <f>G44+H44+I44+L44+M44</f>
        <v>1</v>
      </c>
      <c r="G44" s="138">
        <v>0</v>
      </c>
      <c r="H44" s="138">
        <v>0</v>
      </c>
      <c r="I44" s="131">
        <f t="shared" si="3"/>
        <v>1</v>
      </c>
      <c r="J44" s="138">
        <v>0</v>
      </c>
      <c r="K44" s="93">
        <v>1</v>
      </c>
      <c r="L44" s="97">
        <v>0</v>
      </c>
      <c r="M44" s="108">
        <v>0</v>
      </c>
    </row>
    <row r="45" spans="1:13" ht="7.5" customHeight="1">
      <c r="A45" s="145"/>
      <c r="B45" s="114"/>
      <c r="C45" s="114"/>
      <c r="D45" s="114"/>
      <c r="E45" s="115"/>
      <c r="F45" s="28">
        <f>F44/$F$6*100</f>
        <v>0.0019449576971700864</v>
      </c>
      <c r="G45" s="98"/>
      <c r="H45" s="98"/>
      <c r="I45" s="131">
        <f t="shared" si="3"/>
        <v>0</v>
      </c>
      <c r="J45" s="98"/>
      <c r="K45" s="93"/>
      <c r="L45" s="98"/>
      <c r="M45" s="109"/>
    </row>
    <row r="46" spans="1:13" ht="7.5" customHeight="1">
      <c r="A46" s="123" t="s">
        <v>0</v>
      </c>
      <c r="B46" s="116" t="s">
        <v>5</v>
      </c>
      <c r="C46" s="155"/>
      <c r="D46" s="153" t="s">
        <v>62</v>
      </c>
      <c r="E46" s="105"/>
      <c r="F46" s="27">
        <f>G46+H46+I46+L46+M46</f>
        <v>10</v>
      </c>
      <c r="G46" s="97">
        <v>0</v>
      </c>
      <c r="H46" s="97">
        <v>0</v>
      </c>
      <c r="I46" s="93">
        <f t="shared" si="3"/>
        <v>10</v>
      </c>
      <c r="J46" s="93">
        <v>10</v>
      </c>
      <c r="K46" s="97">
        <v>0</v>
      </c>
      <c r="L46" s="97">
        <v>0</v>
      </c>
      <c r="M46" s="108">
        <v>0</v>
      </c>
    </row>
    <row r="47" spans="1:13" ht="7.5" customHeight="1">
      <c r="A47" s="123"/>
      <c r="B47" s="116"/>
      <c r="C47" s="155"/>
      <c r="D47" s="154"/>
      <c r="E47" s="107"/>
      <c r="F47" s="28">
        <f>F46/$F$6*100</f>
        <v>0.019449576971700865</v>
      </c>
      <c r="G47" s="98"/>
      <c r="H47" s="98"/>
      <c r="I47" s="93">
        <f t="shared" si="3"/>
        <v>0</v>
      </c>
      <c r="J47" s="93"/>
      <c r="K47" s="98"/>
      <c r="L47" s="98"/>
      <c r="M47" s="109"/>
    </row>
    <row r="48" spans="1:13" ht="7.5" customHeight="1">
      <c r="A48" s="123"/>
      <c r="B48" s="116"/>
      <c r="C48" s="155"/>
      <c r="D48" s="152" t="s">
        <v>1</v>
      </c>
      <c r="E48" s="115" t="s">
        <v>24</v>
      </c>
      <c r="F48" s="27">
        <f>G48+H48+I48+L48+M48</f>
        <v>0</v>
      </c>
      <c r="G48" s="97">
        <v>0</v>
      </c>
      <c r="H48" s="97">
        <v>0</v>
      </c>
      <c r="I48" s="97">
        <f t="shared" si="3"/>
        <v>0</v>
      </c>
      <c r="J48" s="97">
        <v>0</v>
      </c>
      <c r="K48" s="97">
        <v>0</v>
      </c>
      <c r="L48" s="97">
        <v>0</v>
      </c>
      <c r="M48" s="108">
        <v>0</v>
      </c>
    </row>
    <row r="49" spans="1:13" ht="7.5" customHeight="1">
      <c r="A49" s="123"/>
      <c r="B49" s="116"/>
      <c r="C49" s="155"/>
      <c r="D49" s="152"/>
      <c r="E49" s="115"/>
      <c r="F49" s="28">
        <f>F48/$F$6*100</f>
        <v>0</v>
      </c>
      <c r="G49" s="98"/>
      <c r="H49" s="98"/>
      <c r="I49" s="98">
        <f t="shared" si="3"/>
        <v>0</v>
      </c>
      <c r="J49" s="98"/>
      <c r="K49" s="98"/>
      <c r="L49" s="98"/>
      <c r="M49" s="109"/>
    </row>
    <row r="50" spans="1:13" ht="7.5" customHeight="1">
      <c r="A50" s="123"/>
      <c r="B50" s="116"/>
      <c r="C50" s="155"/>
      <c r="D50" s="152"/>
      <c r="E50" s="115" t="s">
        <v>25</v>
      </c>
      <c r="F50" s="27">
        <f>G50+H50+I50+L50+M50</f>
        <v>10</v>
      </c>
      <c r="G50" s="97">
        <v>0</v>
      </c>
      <c r="H50" s="97">
        <v>0</v>
      </c>
      <c r="I50" s="93">
        <f t="shared" si="3"/>
        <v>10</v>
      </c>
      <c r="J50" s="93">
        <v>10</v>
      </c>
      <c r="K50" s="97">
        <v>0</v>
      </c>
      <c r="L50" s="97">
        <v>0</v>
      </c>
      <c r="M50" s="108">
        <v>0</v>
      </c>
    </row>
    <row r="51" spans="1:13" ht="7.5" customHeight="1">
      <c r="A51" s="123"/>
      <c r="B51" s="116"/>
      <c r="C51" s="155"/>
      <c r="D51" s="152"/>
      <c r="E51" s="115"/>
      <c r="F51" s="28">
        <f>F50/$F$6*100</f>
        <v>0.019449576971700865</v>
      </c>
      <c r="G51" s="98"/>
      <c r="H51" s="98"/>
      <c r="I51" s="93">
        <f t="shared" si="3"/>
        <v>0</v>
      </c>
      <c r="J51" s="93"/>
      <c r="K51" s="98"/>
      <c r="L51" s="98"/>
      <c r="M51" s="109"/>
    </row>
    <row r="52" spans="1:13" ht="7.5" customHeight="1">
      <c r="A52" s="123"/>
      <c r="B52" s="169" t="s">
        <v>4</v>
      </c>
      <c r="C52" s="169"/>
      <c r="D52" s="169"/>
      <c r="E52" s="170"/>
      <c r="F52" s="27">
        <f>G52+H52+I52+L52+M52</f>
        <v>0</v>
      </c>
      <c r="G52" s="97">
        <v>0</v>
      </c>
      <c r="H52" s="97">
        <v>0</v>
      </c>
      <c r="I52" s="97">
        <f t="shared" si="3"/>
        <v>0</v>
      </c>
      <c r="J52" s="97">
        <v>0</v>
      </c>
      <c r="K52" s="97">
        <v>0</v>
      </c>
      <c r="L52" s="97">
        <v>0</v>
      </c>
      <c r="M52" s="108">
        <v>0</v>
      </c>
    </row>
    <row r="53" spans="1:13" ht="7.5" customHeight="1">
      <c r="A53" s="123"/>
      <c r="B53" s="169"/>
      <c r="C53" s="169"/>
      <c r="D53" s="169"/>
      <c r="E53" s="170"/>
      <c r="F53" s="28">
        <f>F52/$F$6*100</f>
        <v>0</v>
      </c>
      <c r="G53" s="98"/>
      <c r="H53" s="98"/>
      <c r="I53" s="98">
        <f t="shared" si="3"/>
        <v>0</v>
      </c>
      <c r="J53" s="98"/>
      <c r="K53" s="98"/>
      <c r="L53" s="98"/>
      <c r="M53" s="109"/>
    </row>
    <row r="54" spans="1:13" ht="7.5" customHeight="1">
      <c r="A54" s="123"/>
      <c r="B54" s="156" t="s">
        <v>3</v>
      </c>
      <c r="C54" s="156"/>
      <c r="D54" s="156"/>
      <c r="E54" s="157"/>
      <c r="F54" s="27">
        <f>G54+H54+I54+L54+M54</f>
        <v>0</v>
      </c>
      <c r="G54" s="97">
        <v>0</v>
      </c>
      <c r="H54" s="97">
        <v>0</v>
      </c>
      <c r="I54" s="97">
        <f t="shared" si="3"/>
        <v>0</v>
      </c>
      <c r="J54" s="97">
        <v>0</v>
      </c>
      <c r="K54" s="97">
        <v>0</v>
      </c>
      <c r="L54" s="97">
        <v>0</v>
      </c>
      <c r="M54" s="108">
        <v>0</v>
      </c>
    </row>
    <row r="55" spans="1:13" ht="7.5" customHeight="1">
      <c r="A55" s="123"/>
      <c r="B55" s="156"/>
      <c r="C55" s="156"/>
      <c r="D55" s="156"/>
      <c r="E55" s="157"/>
      <c r="F55" s="28">
        <f>F54/$F$6*100</f>
        <v>0</v>
      </c>
      <c r="G55" s="98"/>
      <c r="H55" s="98"/>
      <c r="I55" s="98">
        <f t="shared" si="3"/>
        <v>0</v>
      </c>
      <c r="J55" s="98"/>
      <c r="K55" s="98"/>
      <c r="L55" s="98"/>
      <c r="M55" s="109"/>
    </row>
    <row r="56" spans="1:13" ht="4.5" customHeight="1">
      <c r="A56" s="164" t="s">
        <v>66</v>
      </c>
      <c r="B56" s="164"/>
      <c r="C56" s="164"/>
      <c r="D56" s="164"/>
      <c r="E56" s="165"/>
      <c r="F56" s="160">
        <f aca="true" t="shared" si="4" ref="F56:M56">F8/F6</f>
        <v>0.9900612661674608</v>
      </c>
      <c r="G56" s="160">
        <f t="shared" si="4"/>
        <v>0.972972972972973</v>
      </c>
      <c r="H56" s="168">
        <f t="shared" si="4"/>
        <v>1</v>
      </c>
      <c r="I56" s="160">
        <f t="shared" si="4"/>
        <v>0.9896540238977476</v>
      </c>
      <c r="J56" s="160">
        <f t="shared" si="4"/>
        <v>0.9888442659526997</v>
      </c>
      <c r="K56" s="160">
        <f t="shared" si="4"/>
        <v>0.9905075469277804</v>
      </c>
      <c r="L56" s="160">
        <f t="shared" si="4"/>
        <v>0.9963122311001844</v>
      </c>
      <c r="M56" s="172">
        <f t="shared" si="4"/>
        <v>0.9962523422860712</v>
      </c>
    </row>
    <row r="57" spans="1:13" ht="4.5" customHeight="1">
      <c r="A57" s="166"/>
      <c r="B57" s="166"/>
      <c r="C57" s="166"/>
      <c r="D57" s="166"/>
      <c r="E57" s="167"/>
      <c r="F57" s="160"/>
      <c r="G57" s="160"/>
      <c r="H57" s="168"/>
      <c r="I57" s="160"/>
      <c r="J57" s="160"/>
      <c r="K57" s="160"/>
      <c r="L57" s="160"/>
      <c r="M57" s="172"/>
    </row>
    <row r="58" spans="1:13" ht="4.5" customHeight="1">
      <c r="A58" s="158" t="s">
        <v>6</v>
      </c>
      <c r="B58" s="158"/>
      <c r="C58" s="158"/>
      <c r="D58" s="158"/>
      <c r="E58" s="158"/>
      <c r="F58" s="160">
        <f>(F28+F46+F52+F54)/F6</f>
        <v>0.0012447729261888553</v>
      </c>
      <c r="G58" s="97">
        <f>(G28+G46+G52+G54)/G6</f>
        <v>0</v>
      </c>
      <c r="H58" s="97">
        <v>0</v>
      </c>
      <c r="I58" s="160">
        <f>(I28+I46+I52+I54)/I6</f>
        <v>0.0013322786127648945</v>
      </c>
      <c r="J58" s="160">
        <f>(J28+J46+J52+J54)/J6</f>
        <v>0.0022311468094600626</v>
      </c>
      <c r="K58" s="162">
        <f>(K28+K46+K52+K54)/K6</f>
        <v>0.00038482917860349766</v>
      </c>
      <c r="L58" s="108">
        <f>(L28+L46+L52+L54)/L6</f>
        <v>0</v>
      </c>
      <c r="M58" s="108">
        <f>(M28+M46+M52+M54)/M6</f>
        <v>0</v>
      </c>
    </row>
    <row r="59" spans="1:13" ht="4.5" customHeight="1">
      <c r="A59" s="159"/>
      <c r="B59" s="159"/>
      <c r="C59" s="159"/>
      <c r="D59" s="159"/>
      <c r="E59" s="159"/>
      <c r="F59" s="161"/>
      <c r="G59" s="151"/>
      <c r="H59" s="151"/>
      <c r="I59" s="161"/>
      <c r="J59" s="161"/>
      <c r="K59" s="163"/>
      <c r="L59" s="171"/>
      <c r="M59" s="171"/>
    </row>
    <row r="60" spans="1:13" ht="7.5" customHeight="1">
      <c r="A60" s="2"/>
      <c r="B60" s="4" t="s">
        <v>71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29" t="s">
        <v>72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196">
    <mergeCell ref="M52:M53"/>
    <mergeCell ref="L52:L53"/>
    <mergeCell ref="K52:K53"/>
    <mergeCell ref="M58:M59"/>
    <mergeCell ref="L54:L55"/>
    <mergeCell ref="L58:L59"/>
    <mergeCell ref="M56:M57"/>
    <mergeCell ref="L56:L57"/>
    <mergeCell ref="M54:M55"/>
    <mergeCell ref="A56:E57"/>
    <mergeCell ref="H54:H55"/>
    <mergeCell ref="F56:F57"/>
    <mergeCell ref="G56:G57"/>
    <mergeCell ref="H56:H57"/>
    <mergeCell ref="J52:J53"/>
    <mergeCell ref="B52:E53"/>
    <mergeCell ref="G52:G53"/>
    <mergeCell ref="H52:H53"/>
    <mergeCell ref="I52:I53"/>
    <mergeCell ref="I58:I59"/>
    <mergeCell ref="J58:J59"/>
    <mergeCell ref="K58:K59"/>
    <mergeCell ref="J54:J55"/>
    <mergeCell ref="K54:K55"/>
    <mergeCell ref="I56:I57"/>
    <mergeCell ref="J56:J57"/>
    <mergeCell ref="K56:K57"/>
    <mergeCell ref="I54:I55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E50:E51"/>
    <mergeCell ref="G50:G51"/>
    <mergeCell ref="H50:H51"/>
    <mergeCell ref="I50:I51"/>
    <mergeCell ref="M48:M49"/>
    <mergeCell ref="J50:J51"/>
    <mergeCell ref="K50:K51"/>
    <mergeCell ref="J48:J49"/>
    <mergeCell ref="K48:K49"/>
    <mergeCell ref="L50:L51"/>
    <mergeCell ref="M50:M51"/>
    <mergeCell ref="L48:L49"/>
    <mergeCell ref="L46:L47"/>
    <mergeCell ref="M46:M47"/>
    <mergeCell ref="K46:K47"/>
    <mergeCell ref="E48:E49"/>
    <mergeCell ref="G48:G49"/>
    <mergeCell ref="H48:H49"/>
    <mergeCell ref="I48:I49"/>
    <mergeCell ref="I46:I47"/>
    <mergeCell ref="A44:E45"/>
    <mergeCell ref="I40:I41"/>
    <mergeCell ref="B42:E43"/>
    <mergeCell ref="B40:E41"/>
    <mergeCell ref="A30:A43"/>
    <mergeCell ref="G32:G33"/>
    <mergeCell ref="B30:E31"/>
    <mergeCell ref="G30:G31"/>
    <mergeCell ref="F32:F43"/>
    <mergeCell ref="G36:G37"/>
    <mergeCell ref="J46:J47"/>
    <mergeCell ref="G46:G47"/>
    <mergeCell ref="H46:H47"/>
    <mergeCell ref="G34:G35"/>
    <mergeCell ref="G42:G43"/>
    <mergeCell ref="H42:H43"/>
    <mergeCell ref="J40:J41"/>
    <mergeCell ref="I38:I39"/>
    <mergeCell ref="J38:J39"/>
    <mergeCell ref="G40:G41"/>
    <mergeCell ref="M44:M45"/>
    <mergeCell ref="G44:G45"/>
    <mergeCell ref="H44:H45"/>
    <mergeCell ref="I44:I45"/>
    <mergeCell ref="J44:J45"/>
    <mergeCell ref="K40:K41"/>
    <mergeCell ref="L44:L45"/>
    <mergeCell ref="K44:K45"/>
    <mergeCell ref="L32:M43"/>
    <mergeCell ref="H32:H33"/>
    <mergeCell ref="H36:H37"/>
    <mergeCell ref="B38:E39"/>
    <mergeCell ref="B36:E37"/>
    <mergeCell ref="L30:L31"/>
    <mergeCell ref="J36:J37"/>
    <mergeCell ref="I32:I33"/>
    <mergeCell ref="J30:J31"/>
    <mergeCell ref="H28:H29"/>
    <mergeCell ref="J32:J33"/>
    <mergeCell ref="I34:I35"/>
    <mergeCell ref="J42:J43"/>
    <mergeCell ref="K32:K33"/>
    <mergeCell ref="J34:J35"/>
    <mergeCell ref="K34:K35"/>
    <mergeCell ref="K36:K37"/>
    <mergeCell ref="K38:K39"/>
    <mergeCell ref="H40:H41"/>
    <mergeCell ref="A26:E27"/>
    <mergeCell ref="B32:E33"/>
    <mergeCell ref="B34:E35"/>
    <mergeCell ref="G26:G27"/>
    <mergeCell ref="A28:E29"/>
    <mergeCell ref="G28:G29"/>
    <mergeCell ref="M28:M29"/>
    <mergeCell ref="L26:L27"/>
    <mergeCell ref="L28:L29"/>
    <mergeCell ref="J28:J29"/>
    <mergeCell ref="G38:G39"/>
    <mergeCell ref="H38:H39"/>
    <mergeCell ref="H34:H35"/>
    <mergeCell ref="I36:I37"/>
    <mergeCell ref="H30:H31"/>
    <mergeCell ref="M30:M31"/>
    <mergeCell ref="I28:I29"/>
    <mergeCell ref="M22:M23"/>
    <mergeCell ref="L22:L23"/>
    <mergeCell ref="H26:H27"/>
    <mergeCell ref="I24:I25"/>
    <mergeCell ref="J24:J25"/>
    <mergeCell ref="M24:M25"/>
    <mergeCell ref="K28:K29"/>
    <mergeCell ref="J26:J27"/>
    <mergeCell ref="K26:K27"/>
    <mergeCell ref="M26:M27"/>
    <mergeCell ref="I26:I27"/>
    <mergeCell ref="I20:I21"/>
    <mergeCell ref="J20:J21"/>
    <mergeCell ref="H24:H25"/>
    <mergeCell ref="J22:J23"/>
    <mergeCell ref="K24:K25"/>
    <mergeCell ref="L24:L25"/>
    <mergeCell ref="L18:L19"/>
    <mergeCell ref="K20:K21"/>
    <mergeCell ref="L20:L21"/>
    <mergeCell ref="A24:E25"/>
    <mergeCell ref="G24:G25"/>
    <mergeCell ref="A8:A21"/>
    <mergeCell ref="H22:H23"/>
    <mergeCell ref="A22:E23"/>
    <mergeCell ref="G22:G23"/>
    <mergeCell ref="B18:E19"/>
    <mergeCell ref="J18:J19"/>
    <mergeCell ref="H20:H21"/>
    <mergeCell ref="C14:E15"/>
    <mergeCell ref="G20:G21"/>
    <mergeCell ref="B10:B15"/>
    <mergeCell ref="B16:E17"/>
    <mergeCell ref="C10:E11"/>
    <mergeCell ref="C12:E13"/>
    <mergeCell ref="B20:E21"/>
    <mergeCell ref="G10:G11"/>
    <mergeCell ref="K16:K17"/>
    <mergeCell ref="L16:L17"/>
    <mergeCell ref="M14:M15"/>
    <mergeCell ref="B8:E9"/>
    <mergeCell ref="M20:M21"/>
    <mergeCell ref="M12:M13"/>
    <mergeCell ref="G14:G15"/>
    <mergeCell ref="H14:H15"/>
    <mergeCell ref="H16:H17"/>
    <mergeCell ref="G12:G13"/>
    <mergeCell ref="M10:M11"/>
    <mergeCell ref="H8:H9"/>
    <mergeCell ref="M18:M19"/>
    <mergeCell ref="M16:M17"/>
    <mergeCell ref="G16:G17"/>
    <mergeCell ref="I16:I17"/>
    <mergeCell ref="J16:J17"/>
    <mergeCell ref="L14:L15"/>
    <mergeCell ref="G18:G19"/>
    <mergeCell ref="H18:H19"/>
    <mergeCell ref="H10:H11"/>
    <mergeCell ref="L10:L11"/>
    <mergeCell ref="A4:E5"/>
    <mergeCell ref="G4:H4"/>
    <mergeCell ref="A6:E7"/>
    <mergeCell ref="G6:G7"/>
    <mergeCell ref="H6:H7"/>
    <mergeCell ref="G8:G9"/>
    <mergeCell ref="J12:J13"/>
    <mergeCell ref="I4:K4"/>
    <mergeCell ref="L8:L9"/>
    <mergeCell ref="H12:H13"/>
    <mergeCell ref="L12:L13"/>
    <mergeCell ref="L4:M4"/>
    <mergeCell ref="L6:L7"/>
    <mergeCell ref="M6:M7"/>
    <mergeCell ref="M8:M9"/>
  </mergeCells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7"/>
  <sheetViews>
    <sheetView tabSelected="1" view="pageBreakPreview" zoomScale="175" zoomScaleNormal="145" zoomScaleSheetLayoutView="175" workbookViewId="0" topLeftCell="A10">
      <selection activeCell="R30" sqref="R30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7.25390625" style="11" customWidth="1"/>
    <col min="4" max="8" width="5.125" style="11" customWidth="1"/>
    <col min="9" max="9" width="4.625" style="1" customWidth="1"/>
    <col min="10" max="11" width="5.625" style="11" customWidth="1"/>
    <col min="12" max="14" width="3.625" style="11" customWidth="1"/>
    <col min="15" max="19" width="3.50390625" style="11" customWidth="1"/>
    <col min="20" max="20" width="4.00390625" style="11" customWidth="1"/>
    <col min="21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177" t="s">
        <v>30</v>
      </c>
      <c r="B2" s="178"/>
      <c r="C2" s="178"/>
      <c r="D2" s="88" t="s">
        <v>86</v>
      </c>
      <c r="E2" s="186" t="s">
        <v>87</v>
      </c>
      <c r="F2" s="186"/>
      <c r="G2" s="18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87"/>
    </row>
    <row r="3" spans="1:21" ht="18" customHeight="1">
      <c r="A3" s="179"/>
      <c r="B3" s="180"/>
      <c r="C3" s="180"/>
      <c r="D3" s="38" t="s">
        <v>32</v>
      </c>
      <c r="E3" s="38" t="s">
        <v>7</v>
      </c>
      <c r="F3" s="38" t="s">
        <v>16</v>
      </c>
      <c r="G3" s="38" t="s">
        <v>17</v>
      </c>
      <c r="H3" s="38" t="s">
        <v>33</v>
      </c>
      <c r="I3" s="19" t="s">
        <v>34</v>
      </c>
      <c r="J3" s="17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30" t="s">
        <v>43</v>
      </c>
      <c r="S3" s="18" t="s">
        <v>44</v>
      </c>
      <c r="T3" s="30" t="s">
        <v>45</v>
      </c>
      <c r="U3" s="31" t="s">
        <v>46</v>
      </c>
    </row>
    <row r="4" spans="1:21" ht="9" customHeight="1">
      <c r="A4" s="192" t="s">
        <v>65</v>
      </c>
      <c r="B4" s="193"/>
      <c r="C4" s="181" t="s">
        <v>47</v>
      </c>
      <c r="D4" s="39">
        <v>49506</v>
      </c>
      <c r="E4" s="89">
        <f>47425+E5</f>
        <v>47541</v>
      </c>
      <c r="F4" s="39">
        <f>24320+F5</f>
        <v>24376</v>
      </c>
      <c r="G4" s="39">
        <f>23105+G5</f>
        <v>23165</v>
      </c>
      <c r="H4" s="39">
        <f>40382+H5</f>
        <v>40480</v>
      </c>
      <c r="I4" s="41">
        <f>812+I5</f>
        <v>816</v>
      </c>
      <c r="J4" s="40">
        <f>1337+J5</f>
        <v>1338</v>
      </c>
      <c r="K4" s="40">
        <f>1573+K5</f>
        <v>1579</v>
      </c>
      <c r="L4" s="173">
        <v>45</v>
      </c>
      <c r="M4" s="173">
        <v>284</v>
      </c>
      <c r="N4" s="173">
        <v>45</v>
      </c>
      <c r="O4" s="58">
        <f>320+O5</f>
        <v>321</v>
      </c>
      <c r="P4" s="173">
        <v>259</v>
      </c>
      <c r="Q4" s="58">
        <f>94+Q5</f>
        <v>95</v>
      </c>
      <c r="R4" s="58">
        <f>434+R5</f>
        <v>436</v>
      </c>
      <c r="S4" s="173">
        <v>58</v>
      </c>
      <c r="T4" s="58">
        <f>1324+T5</f>
        <v>1327</v>
      </c>
      <c r="U4" s="41">
        <v>458</v>
      </c>
    </row>
    <row r="5" spans="1:21" ht="7.5" customHeight="1">
      <c r="A5" s="192"/>
      <c r="B5" s="193"/>
      <c r="C5" s="182"/>
      <c r="D5" s="42">
        <v>100</v>
      </c>
      <c r="E5" s="42">
        <v>116</v>
      </c>
      <c r="F5" s="42">
        <v>56</v>
      </c>
      <c r="G5" s="42">
        <v>60</v>
      </c>
      <c r="H5" s="42">
        <v>98</v>
      </c>
      <c r="I5" s="44">
        <v>4</v>
      </c>
      <c r="J5" s="43">
        <v>1</v>
      </c>
      <c r="K5" s="43">
        <v>6</v>
      </c>
      <c r="L5" s="183"/>
      <c r="M5" s="183"/>
      <c r="N5" s="183"/>
      <c r="O5" s="42">
        <v>1</v>
      </c>
      <c r="P5" s="183"/>
      <c r="Q5" s="42">
        <v>1</v>
      </c>
      <c r="R5" s="43">
        <v>2</v>
      </c>
      <c r="S5" s="183"/>
      <c r="T5" s="42">
        <v>3</v>
      </c>
      <c r="U5" s="44"/>
    </row>
    <row r="6" spans="1:21" ht="14.25" customHeight="1">
      <c r="A6" s="193"/>
      <c r="B6" s="193"/>
      <c r="C6" s="12" t="s">
        <v>48</v>
      </c>
      <c r="D6" s="45">
        <v>1</v>
      </c>
      <c r="E6" s="45">
        <v>1</v>
      </c>
      <c r="F6" s="45">
        <f>F4/$E$4</f>
        <v>0.5127363749184914</v>
      </c>
      <c r="G6" s="45">
        <f aca="true" t="shared" si="0" ref="G6:T6">G4/$E$4</f>
        <v>0.4872636250815086</v>
      </c>
      <c r="H6" s="45">
        <f>H4/$E$4</f>
        <v>0.8514755684567006</v>
      </c>
      <c r="I6" s="46">
        <f t="shared" si="0"/>
        <v>0.01716413201236827</v>
      </c>
      <c r="J6" s="47">
        <f t="shared" si="0"/>
        <v>0.02814412822616268</v>
      </c>
      <c r="K6" s="45">
        <f t="shared" si="0"/>
        <v>0.03321343682295282</v>
      </c>
      <c r="L6" s="45">
        <f t="shared" si="0"/>
        <v>0.0009465513977408973</v>
      </c>
      <c r="M6" s="45">
        <f t="shared" si="0"/>
        <v>0.00597379104352033</v>
      </c>
      <c r="N6" s="45">
        <f t="shared" si="0"/>
        <v>0.0009465513977408973</v>
      </c>
      <c r="O6" s="45">
        <f t="shared" si="0"/>
        <v>0.006752066637218401</v>
      </c>
      <c r="P6" s="45">
        <f t="shared" si="0"/>
        <v>0.005447929155886498</v>
      </c>
      <c r="Q6" s="45">
        <f>Q4/$E$4</f>
        <v>0.001998275173008561</v>
      </c>
      <c r="R6" s="45">
        <f>R4/$E$4</f>
        <v>0.009171031320334028</v>
      </c>
      <c r="S6" s="45">
        <f t="shared" si="0"/>
        <v>0.0012199995793104898</v>
      </c>
      <c r="T6" s="45">
        <f t="shared" si="0"/>
        <v>0.027912748995603795</v>
      </c>
      <c r="U6" s="46">
        <f>U4/$E$4</f>
        <v>0.0096337897814518</v>
      </c>
    </row>
    <row r="7" spans="1:21" ht="9" customHeight="1">
      <c r="A7" s="223" t="s">
        <v>49</v>
      </c>
      <c r="B7" s="208" t="s">
        <v>7</v>
      </c>
      <c r="C7" s="181"/>
      <c r="D7" s="39">
        <v>45643</v>
      </c>
      <c r="E7" s="39">
        <f>SUM(F7:G7)</f>
        <v>43693</v>
      </c>
      <c r="F7" s="39">
        <f>22367+F8</f>
        <v>22412</v>
      </c>
      <c r="G7" s="39">
        <f>21233+G8</f>
        <v>21281</v>
      </c>
      <c r="H7" s="39">
        <f>36927+H8</f>
        <v>37003</v>
      </c>
      <c r="I7" s="41">
        <f>796+I8</f>
        <v>800</v>
      </c>
      <c r="J7" s="40">
        <f>1247+J8</f>
        <v>1248</v>
      </c>
      <c r="K7" s="39">
        <f>1552+K8</f>
        <v>1558</v>
      </c>
      <c r="L7" s="173">
        <v>43</v>
      </c>
      <c r="M7" s="173">
        <v>272</v>
      </c>
      <c r="N7" s="173">
        <v>38</v>
      </c>
      <c r="O7" s="173">
        <v>318</v>
      </c>
      <c r="P7" s="173">
        <v>213</v>
      </c>
      <c r="Q7" s="58">
        <f>76+Q8</f>
        <v>77</v>
      </c>
      <c r="R7" s="58">
        <f>412+R8</f>
        <v>414</v>
      </c>
      <c r="S7" s="173">
        <v>58</v>
      </c>
      <c r="T7" s="58">
        <f>1314+T8</f>
        <v>1317</v>
      </c>
      <c r="U7" s="219">
        <f>334+U8</f>
        <v>334</v>
      </c>
    </row>
    <row r="8" spans="1:21" ht="7.5" customHeight="1">
      <c r="A8" s="224"/>
      <c r="B8" s="209"/>
      <c r="C8" s="210"/>
      <c r="D8" s="48">
        <v>88</v>
      </c>
      <c r="E8" s="48">
        <f>SUM(F8:G8)</f>
        <v>93</v>
      </c>
      <c r="F8" s="48">
        <v>45</v>
      </c>
      <c r="G8" s="48">
        <v>48</v>
      </c>
      <c r="H8" s="48">
        <v>76</v>
      </c>
      <c r="I8" s="50">
        <v>4</v>
      </c>
      <c r="J8" s="49">
        <v>1</v>
      </c>
      <c r="K8" s="48">
        <v>6</v>
      </c>
      <c r="L8" s="174"/>
      <c r="M8" s="174"/>
      <c r="N8" s="174"/>
      <c r="O8" s="174"/>
      <c r="P8" s="174"/>
      <c r="Q8" s="48">
        <v>1</v>
      </c>
      <c r="R8" s="48">
        <v>2</v>
      </c>
      <c r="S8" s="174"/>
      <c r="T8" s="48">
        <v>3</v>
      </c>
      <c r="U8" s="220"/>
    </row>
    <row r="9" spans="1:21" ht="9" customHeight="1">
      <c r="A9" s="224"/>
      <c r="B9" s="226" t="s">
        <v>50</v>
      </c>
      <c r="C9" s="215" t="s">
        <v>74</v>
      </c>
      <c r="D9" s="39">
        <v>31091</v>
      </c>
      <c r="E9" s="39">
        <f>SUM(F9:G9)</f>
        <v>28793</v>
      </c>
      <c r="F9" s="39">
        <f>14349+F10</f>
        <v>14371</v>
      </c>
      <c r="G9" s="39">
        <f>14392+G10</f>
        <v>14422</v>
      </c>
      <c r="H9" s="39">
        <f>23215+H10</f>
        <v>23253</v>
      </c>
      <c r="I9" s="41">
        <f>742+I10</f>
        <v>746</v>
      </c>
      <c r="J9" s="40">
        <f>997+J10</f>
        <v>998</v>
      </c>
      <c r="K9" s="39">
        <f>1206+K10</f>
        <v>1210</v>
      </c>
      <c r="L9" s="173">
        <v>43</v>
      </c>
      <c r="M9" s="173">
        <v>212</v>
      </c>
      <c r="N9" s="173">
        <v>38</v>
      </c>
      <c r="O9" s="173">
        <v>318</v>
      </c>
      <c r="P9" s="173">
        <v>124</v>
      </c>
      <c r="Q9" s="175">
        <v>0</v>
      </c>
      <c r="R9" s="39">
        <f>356+R10</f>
        <v>358</v>
      </c>
      <c r="S9" s="173">
        <v>52</v>
      </c>
      <c r="T9" s="58">
        <f>1314+T10</f>
        <v>1317</v>
      </c>
      <c r="U9" s="41">
        <v>125</v>
      </c>
    </row>
    <row r="10" spans="1:21" ht="7.5" customHeight="1">
      <c r="A10" s="224"/>
      <c r="B10" s="226"/>
      <c r="C10" s="216"/>
      <c r="D10" s="48">
        <v>55</v>
      </c>
      <c r="E10" s="48">
        <f>SUM(F10:G10)</f>
        <v>52</v>
      </c>
      <c r="F10" s="48">
        <v>22</v>
      </c>
      <c r="G10" s="48">
        <v>30</v>
      </c>
      <c r="H10" s="48">
        <v>38</v>
      </c>
      <c r="I10" s="50">
        <v>4</v>
      </c>
      <c r="J10" s="49">
        <v>1</v>
      </c>
      <c r="K10" s="48">
        <v>4</v>
      </c>
      <c r="L10" s="174"/>
      <c r="M10" s="174"/>
      <c r="N10" s="174"/>
      <c r="O10" s="174"/>
      <c r="P10" s="174"/>
      <c r="Q10" s="176"/>
      <c r="R10" s="48">
        <v>2</v>
      </c>
      <c r="S10" s="174"/>
      <c r="T10" s="48">
        <v>3</v>
      </c>
      <c r="U10" s="50"/>
    </row>
    <row r="11" spans="1:21" ht="9" customHeight="1">
      <c r="A11" s="224"/>
      <c r="B11" s="226"/>
      <c r="C11" s="215" t="s">
        <v>78</v>
      </c>
      <c r="D11" s="58">
        <v>707</v>
      </c>
      <c r="E11" s="39">
        <f aca="true" t="shared" si="1" ref="E11:E35">SUM(F11:G11)</f>
        <v>603</v>
      </c>
      <c r="F11" s="173">
        <v>345</v>
      </c>
      <c r="G11" s="58">
        <f>257+G12</f>
        <v>258</v>
      </c>
      <c r="H11" s="39">
        <f>532+H12</f>
        <v>533</v>
      </c>
      <c r="I11" s="196">
        <v>0</v>
      </c>
      <c r="J11" s="184">
        <v>33</v>
      </c>
      <c r="K11" s="173">
        <v>37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96">
        <v>0</v>
      </c>
    </row>
    <row r="12" spans="1:21" ht="7.5" customHeight="1">
      <c r="A12" s="224"/>
      <c r="B12" s="226"/>
      <c r="C12" s="216"/>
      <c r="D12" s="48">
        <v>1</v>
      </c>
      <c r="E12" s="48">
        <f t="shared" si="1"/>
        <v>1</v>
      </c>
      <c r="F12" s="174"/>
      <c r="G12" s="48">
        <v>1</v>
      </c>
      <c r="H12" s="48">
        <v>1</v>
      </c>
      <c r="I12" s="197"/>
      <c r="J12" s="185"/>
      <c r="K12" s="174"/>
      <c r="L12" s="176"/>
      <c r="M12" s="176"/>
      <c r="N12" s="176"/>
      <c r="O12" s="176"/>
      <c r="P12" s="176"/>
      <c r="Q12" s="176"/>
      <c r="R12" s="176"/>
      <c r="S12" s="176"/>
      <c r="T12" s="176"/>
      <c r="U12" s="197"/>
    </row>
    <row r="13" spans="1:21" ht="14.25" customHeight="1">
      <c r="A13" s="224"/>
      <c r="B13" s="226"/>
      <c r="C13" s="33" t="s">
        <v>79</v>
      </c>
      <c r="D13" s="51">
        <v>98</v>
      </c>
      <c r="E13" s="55">
        <f t="shared" si="1"/>
        <v>94</v>
      </c>
      <c r="F13" s="56">
        <v>47</v>
      </c>
      <c r="G13" s="56">
        <v>47</v>
      </c>
      <c r="H13" s="56">
        <v>94</v>
      </c>
      <c r="I13" s="52">
        <v>0</v>
      </c>
      <c r="J13" s="57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2">
        <v>0</v>
      </c>
    </row>
    <row r="14" spans="1:21" ht="9" customHeight="1">
      <c r="A14" s="224"/>
      <c r="B14" s="215" t="s">
        <v>51</v>
      </c>
      <c r="C14" s="215" t="s">
        <v>74</v>
      </c>
      <c r="D14" s="39">
        <v>11893</v>
      </c>
      <c r="E14" s="39">
        <f t="shared" si="1"/>
        <v>12134</v>
      </c>
      <c r="F14" s="39">
        <f>6441+F15</f>
        <v>6458</v>
      </c>
      <c r="G14" s="39">
        <f>5663+G15</f>
        <v>5676</v>
      </c>
      <c r="H14" s="58">
        <f>11348+H15</f>
        <v>11375</v>
      </c>
      <c r="I14" s="219">
        <v>25</v>
      </c>
      <c r="J14" s="194">
        <v>0</v>
      </c>
      <c r="K14" s="58">
        <f>304+K15</f>
        <v>306</v>
      </c>
      <c r="L14" s="175">
        <v>0</v>
      </c>
      <c r="M14" s="173">
        <v>47</v>
      </c>
      <c r="N14" s="175">
        <v>0</v>
      </c>
      <c r="O14" s="175">
        <v>0</v>
      </c>
      <c r="P14" s="173">
        <v>89</v>
      </c>
      <c r="Q14" s="58">
        <f>76+Q15</f>
        <v>77</v>
      </c>
      <c r="R14" s="173">
        <v>56</v>
      </c>
      <c r="S14" s="175">
        <v>0</v>
      </c>
      <c r="T14" s="175">
        <v>0</v>
      </c>
      <c r="U14" s="219">
        <v>158</v>
      </c>
    </row>
    <row r="15" spans="1:21" ht="7.5" customHeight="1">
      <c r="A15" s="224"/>
      <c r="B15" s="217"/>
      <c r="C15" s="216"/>
      <c r="D15" s="48">
        <v>23</v>
      </c>
      <c r="E15" s="48">
        <f t="shared" si="1"/>
        <v>30</v>
      </c>
      <c r="F15" s="48">
        <v>17</v>
      </c>
      <c r="G15" s="48">
        <v>13</v>
      </c>
      <c r="H15" s="59">
        <v>27</v>
      </c>
      <c r="I15" s="220"/>
      <c r="J15" s="195"/>
      <c r="K15" s="59">
        <v>2</v>
      </c>
      <c r="L15" s="176"/>
      <c r="M15" s="174"/>
      <c r="N15" s="176"/>
      <c r="O15" s="176"/>
      <c r="P15" s="174"/>
      <c r="Q15" s="59">
        <v>1</v>
      </c>
      <c r="R15" s="174"/>
      <c r="S15" s="176"/>
      <c r="T15" s="176"/>
      <c r="U15" s="220"/>
    </row>
    <row r="16" spans="1:21" ht="14.25" customHeight="1">
      <c r="A16" s="224"/>
      <c r="B16" s="217"/>
      <c r="C16" s="18" t="s">
        <v>78</v>
      </c>
      <c r="D16" s="54">
        <f>E16+F16</f>
        <v>0</v>
      </c>
      <c r="E16" s="54">
        <f t="shared" si="1"/>
        <v>0</v>
      </c>
      <c r="F16" s="54">
        <v>0</v>
      </c>
      <c r="G16" s="54">
        <v>0</v>
      </c>
      <c r="H16" s="52">
        <v>0</v>
      </c>
      <c r="I16" s="52">
        <v>0</v>
      </c>
      <c r="J16" s="57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2">
        <v>0</v>
      </c>
    </row>
    <row r="17" spans="1:21" ht="9" customHeight="1">
      <c r="A17" s="224"/>
      <c r="B17" s="217"/>
      <c r="C17" s="215" t="s">
        <v>75</v>
      </c>
      <c r="D17" s="55">
        <v>1019</v>
      </c>
      <c r="E17" s="55">
        <f t="shared" si="1"/>
        <v>1278</v>
      </c>
      <c r="F17" s="55">
        <f>638+F18</f>
        <v>644</v>
      </c>
      <c r="G17" s="55">
        <f>632+G18</f>
        <v>634</v>
      </c>
      <c r="H17" s="55">
        <f>1270+H18</f>
        <v>1278</v>
      </c>
      <c r="I17" s="196">
        <v>0</v>
      </c>
      <c r="J17" s="194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96">
        <v>0</v>
      </c>
    </row>
    <row r="18" spans="1:21" ht="7.5" customHeight="1">
      <c r="A18" s="224"/>
      <c r="B18" s="216"/>
      <c r="C18" s="216"/>
      <c r="D18" s="42">
        <v>8</v>
      </c>
      <c r="E18" s="48">
        <f t="shared" si="1"/>
        <v>8</v>
      </c>
      <c r="F18" s="48">
        <v>6</v>
      </c>
      <c r="G18" s="48">
        <v>2</v>
      </c>
      <c r="H18" s="48">
        <v>8</v>
      </c>
      <c r="I18" s="197"/>
      <c r="J18" s="195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97"/>
    </row>
    <row r="19" spans="1:21" ht="7.5" customHeight="1">
      <c r="A19" s="224"/>
      <c r="B19" s="211" t="s">
        <v>52</v>
      </c>
      <c r="C19" s="212"/>
      <c r="D19" s="39">
        <v>644</v>
      </c>
      <c r="E19" s="55">
        <f t="shared" si="1"/>
        <v>597</v>
      </c>
      <c r="F19" s="173">
        <v>389</v>
      </c>
      <c r="G19" s="55">
        <f>206+G20</f>
        <v>208</v>
      </c>
      <c r="H19" s="39">
        <f>468+H20</f>
        <v>470</v>
      </c>
      <c r="I19" s="219">
        <v>29</v>
      </c>
      <c r="J19" s="184">
        <v>23</v>
      </c>
      <c r="K19" s="173">
        <v>5</v>
      </c>
      <c r="L19" s="175">
        <v>0</v>
      </c>
      <c r="M19" s="173">
        <v>13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236">
        <v>6</v>
      </c>
      <c r="T19" s="175">
        <v>0</v>
      </c>
      <c r="U19" s="219">
        <v>51</v>
      </c>
    </row>
    <row r="20" spans="1:21" ht="7.5" customHeight="1">
      <c r="A20" s="224"/>
      <c r="B20" s="213"/>
      <c r="C20" s="214"/>
      <c r="D20" s="59">
        <v>1</v>
      </c>
      <c r="E20" s="48">
        <f t="shared" si="1"/>
        <v>2</v>
      </c>
      <c r="F20" s="174"/>
      <c r="G20" s="48">
        <v>2</v>
      </c>
      <c r="H20" s="59">
        <v>2</v>
      </c>
      <c r="I20" s="220"/>
      <c r="J20" s="185"/>
      <c r="K20" s="174"/>
      <c r="L20" s="176"/>
      <c r="M20" s="174"/>
      <c r="N20" s="176"/>
      <c r="O20" s="176"/>
      <c r="P20" s="176"/>
      <c r="Q20" s="176"/>
      <c r="R20" s="176"/>
      <c r="S20" s="237"/>
      <c r="T20" s="176"/>
      <c r="U20" s="220"/>
    </row>
    <row r="21" spans="1:21" ht="14.25" customHeight="1">
      <c r="A21" s="225"/>
      <c r="B21" s="193" t="s">
        <v>58</v>
      </c>
      <c r="C21" s="218"/>
      <c r="D21" s="51">
        <v>191</v>
      </c>
      <c r="E21" s="51">
        <f t="shared" si="1"/>
        <v>194</v>
      </c>
      <c r="F21" s="51">
        <v>158</v>
      </c>
      <c r="G21" s="51">
        <v>36</v>
      </c>
      <c r="H21" s="60">
        <v>0</v>
      </c>
      <c r="I21" s="60">
        <v>0</v>
      </c>
      <c r="J21" s="53">
        <v>194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2">
        <v>0</v>
      </c>
    </row>
    <row r="22" spans="1:21" ht="9" customHeight="1">
      <c r="A22" s="223" t="s">
        <v>53</v>
      </c>
      <c r="B22" s="208" t="s">
        <v>7</v>
      </c>
      <c r="C22" s="181"/>
      <c r="D22" s="39">
        <v>3863</v>
      </c>
      <c r="E22" s="39">
        <f t="shared" si="1"/>
        <v>3848</v>
      </c>
      <c r="F22" s="39">
        <f>1953+F23</f>
        <v>1964</v>
      </c>
      <c r="G22" s="39">
        <f>1872+G23</f>
        <v>1884</v>
      </c>
      <c r="H22" s="39">
        <f>3455+H23</f>
        <v>3477</v>
      </c>
      <c r="I22" s="219">
        <v>16</v>
      </c>
      <c r="J22" s="184">
        <v>90</v>
      </c>
      <c r="K22" s="173">
        <v>21</v>
      </c>
      <c r="L22" s="236">
        <v>2</v>
      </c>
      <c r="M22" s="173">
        <v>12</v>
      </c>
      <c r="N22" s="173">
        <v>7</v>
      </c>
      <c r="O22" s="58">
        <f>2+O23</f>
        <v>3</v>
      </c>
      <c r="P22" s="173">
        <v>46</v>
      </c>
      <c r="Q22" s="173">
        <v>18</v>
      </c>
      <c r="R22" s="173">
        <v>22</v>
      </c>
      <c r="S22" s="175">
        <v>0</v>
      </c>
      <c r="T22" s="173">
        <v>10</v>
      </c>
      <c r="U22" s="219">
        <v>124</v>
      </c>
    </row>
    <row r="23" spans="1:21" ht="7.5" customHeight="1">
      <c r="A23" s="224"/>
      <c r="B23" s="209"/>
      <c r="C23" s="210"/>
      <c r="D23" s="48">
        <v>12</v>
      </c>
      <c r="E23" s="48">
        <f t="shared" si="1"/>
        <v>23</v>
      </c>
      <c r="F23" s="48">
        <v>11</v>
      </c>
      <c r="G23" s="48">
        <v>12</v>
      </c>
      <c r="H23" s="48">
        <v>22</v>
      </c>
      <c r="I23" s="220"/>
      <c r="J23" s="185"/>
      <c r="K23" s="174"/>
      <c r="L23" s="237"/>
      <c r="M23" s="174"/>
      <c r="N23" s="174"/>
      <c r="O23" s="59">
        <v>1</v>
      </c>
      <c r="P23" s="174"/>
      <c r="Q23" s="174"/>
      <c r="R23" s="174"/>
      <c r="S23" s="176"/>
      <c r="T23" s="174"/>
      <c r="U23" s="220"/>
    </row>
    <row r="24" spans="1:21" ht="9" customHeight="1">
      <c r="A24" s="224"/>
      <c r="B24" s="234" t="s">
        <v>88</v>
      </c>
      <c r="C24" s="215" t="s">
        <v>74</v>
      </c>
      <c r="D24" s="173">
        <v>362</v>
      </c>
      <c r="E24" s="39">
        <f t="shared" si="1"/>
        <v>366</v>
      </c>
      <c r="F24" s="39">
        <f>188+F25</f>
        <v>189</v>
      </c>
      <c r="G24" s="173">
        <v>177</v>
      </c>
      <c r="H24" s="173">
        <v>250</v>
      </c>
      <c r="I24" s="219">
        <v>13</v>
      </c>
      <c r="J24" s="184">
        <v>50</v>
      </c>
      <c r="K24" s="173">
        <v>9</v>
      </c>
      <c r="L24" s="236">
        <v>2</v>
      </c>
      <c r="M24" s="173">
        <v>4</v>
      </c>
      <c r="N24" s="173">
        <v>1</v>
      </c>
      <c r="O24" s="39">
        <f>0+O25</f>
        <v>1</v>
      </c>
      <c r="P24" s="173">
        <v>1</v>
      </c>
      <c r="Q24" s="173">
        <v>6</v>
      </c>
      <c r="R24" s="238">
        <v>2</v>
      </c>
      <c r="S24" s="175">
        <v>0</v>
      </c>
      <c r="T24" s="173">
        <v>6</v>
      </c>
      <c r="U24" s="219">
        <v>21</v>
      </c>
    </row>
    <row r="25" spans="1:21" ht="9" customHeight="1">
      <c r="A25" s="224"/>
      <c r="B25" s="235"/>
      <c r="C25" s="216"/>
      <c r="D25" s="174"/>
      <c r="E25" s="59">
        <f t="shared" si="1"/>
        <v>1</v>
      </c>
      <c r="F25" s="59">
        <v>1</v>
      </c>
      <c r="G25" s="174"/>
      <c r="H25" s="174"/>
      <c r="I25" s="220"/>
      <c r="J25" s="185"/>
      <c r="K25" s="174"/>
      <c r="L25" s="237"/>
      <c r="M25" s="174"/>
      <c r="N25" s="174"/>
      <c r="O25" s="59">
        <v>1</v>
      </c>
      <c r="P25" s="174"/>
      <c r="Q25" s="174"/>
      <c r="R25" s="239"/>
      <c r="S25" s="176"/>
      <c r="T25" s="174"/>
      <c r="U25" s="220"/>
    </row>
    <row r="26" spans="1:21" ht="14.25" customHeight="1">
      <c r="A26" s="224"/>
      <c r="B26" s="235"/>
      <c r="C26" s="18" t="s">
        <v>78</v>
      </c>
      <c r="D26" s="51">
        <v>12</v>
      </c>
      <c r="E26" s="51">
        <f t="shared" si="1"/>
        <v>6</v>
      </c>
      <c r="F26" s="51">
        <v>3</v>
      </c>
      <c r="G26" s="51">
        <v>3</v>
      </c>
      <c r="H26" s="51">
        <v>5</v>
      </c>
      <c r="I26" s="52">
        <v>0</v>
      </c>
      <c r="J26" s="53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2">
        <v>0</v>
      </c>
    </row>
    <row r="27" spans="1:21" ht="14.25" customHeight="1">
      <c r="A27" s="224"/>
      <c r="B27" s="209"/>
      <c r="C27" s="91" t="s">
        <v>79</v>
      </c>
      <c r="D27" s="51">
        <v>11</v>
      </c>
      <c r="E27" s="51">
        <f t="shared" si="1"/>
        <v>12</v>
      </c>
      <c r="F27" s="62">
        <v>12</v>
      </c>
      <c r="G27" s="60">
        <v>0</v>
      </c>
      <c r="H27" s="62">
        <v>11</v>
      </c>
      <c r="I27" s="52">
        <v>0</v>
      </c>
      <c r="J27" s="57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61">
        <v>1</v>
      </c>
    </row>
    <row r="28" spans="1:21" ht="9" customHeight="1">
      <c r="A28" s="224"/>
      <c r="B28" s="208" t="s">
        <v>51</v>
      </c>
      <c r="C28" s="215" t="s">
        <v>74</v>
      </c>
      <c r="D28" s="39">
        <v>3106</v>
      </c>
      <c r="E28" s="39">
        <f t="shared" si="1"/>
        <v>2970</v>
      </c>
      <c r="F28" s="39">
        <f>1501+F29</f>
        <v>1506</v>
      </c>
      <c r="G28" s="39">
        <f>1455+G29</f>
        <v>1464</v>
      </c>
      <c r="H28" s="39">
        <f>2764+H29</f>
        <v>2778</v>
      </c>
      <c r="I28" s="219">
        <v>2</v>
      </c>
      <c r="J28" s="184">
        <v>12</v>
      </c>
      <c r="K28" s="173">
        <v>12</v>
      </c>
      <c r="L28" s="175">
        <v>0</v>
      </c>
      <c r="M28" s="173">
        <v>6</v>
      </c>
      <c r="N28" s="173">
        <v>6</v>
      </c>
      <c r="O28" s="236">
        <v>2</v>
      </c>
      <c r="P28" s="173">
        <v>42</v>
      </c>
      <c r="Q28" s="173">
        <v>11</v>
      </c>
      <c r="R28" s="173">
        <v>20</v>
      </c>
      <c r="S28" s="175">
        <v>0</v>
      </c>
      <c r="T28" s="173">
        <v>2</v>
      </c>
      <c r="U28" s="219">
        <v>77</v>
      </c>
    </row>
    <row r="29" spans="1:21" ht="7.5" customHeight="1">
      <c r="A29" s="224"/>
      <c r="B29" s="235"/>
      <c r="C29" s="216"/>
      <c r="D29" s="48">
        <v>11</v>
      </c>
      <c r="E29" s="48">
        <f t="shared" si="1"/>
        <v>14</v>
      </c>
      <c r="F29" s="48">
        <v>5</v>
      </c>
      <c r="G29" s="50">
        <v>9</v>
      </c>
      <c r="H29" s="48">
        <v>14</v>
      </c>
      <c r="I29" s="220"/>
      <c r="J29" s="185"/>
      <c r="K29" s="174"/>
      <c r="L29" s="176"/>
      <c r="M29" s="174"/>
      <c r="N29" s="174"/>
      <c r="O29" s="237"/>
      <c r="P29" s="174"/>
      <c r="Q29" s="174"/>
      <c r="R29" s="174"/>
      <c r="S29" s="176"/>
      <c r="T29" s="174"/>
      <c r="U29" s="220"/>
    </row>
    <row r="30" spans="1:21" ht="14.25" customHeight="1">
      <c r="A30" s="224"/>
      <c r="B30" s="235"/>
      <c r="C30" s="18" t="s">
        <v>78</v>
      </c>
      <c r="D30" s="51">
        <v>6</v>
      </c>
      <c r="E30" s="51">
        <f t="shared" si="1"/>
        <v>18</v>
      </c>
      <c r="F30" s="63">
        <v>11</v>
      </c>
      <c r="G30" s="63">
        <v>7</v>
      </c>
      <c r="H30" s="51">
        <v>17</v>
      </c>
      <c r="I30" s="52">
        <v>0</v>
      </c>
      <c r="J30" s="57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1">
        <v>1</v>
      </c>
      <c r="Q30" s="54">
        <v>0</v>
      </c>
      <c r="R30" s="54">
        <v>0</v>
      </c>
      <c r="S30" s="54">
        <v>0</v>
      </c>
      <c r="T30" s="54">
        <v>0</v>
      </c>
      <c r="U30" s="52">
        <v>0</v>
      </c>
    </row>
    <row r="31" spans="1:21" ht="7.5" customHeight="1">
      <c r="A31" s="224"/>
      <c r="B31" s="235"/>
      <c r="C31" s="215" t="s">
        <v>75</v>
      </c>
      <c r="D31" s="55">
        <v>324</v>
      </c>
      <c r="E31" s="55">
        <f t="shared" si="1"/>
        <v>439</v>
      </c>
      <c r="F31" s="39">
        <f>204+F32</f>
        <v>209</v>
      </c>
      <c r="G31" s="58">
        <f>227+G32</f>
        <v>230</v>
      </c>
      <c r="H31" s="55">
        <f>405+H32</f>
        <v>413</v>
      </c>
      <c r="I31" s="196">
        <v>0</v>
      </c>
      <c r="J31" s="194">
        <v>0</v>
      </c>
      <c r="K31" s="175">
        <v>0</v>
      </c>
      <c r="L31" s="175">
        <v>0</v>
      </c>
      <c r="M31" s="173">
        <v>2</v>
      </c>
      <c r="N31" s="175">
        <v>0</v>
      </c>
      <c r="O31" s="175">
        <v>0</v>
      </c>
      <c r="P31" s="236">
        <v>2</v>
      </c>
      <c r="Q31" s="173">
        <v>1</v>
      </c>
      <c r="R31" s="175">
        <v>0</v>
      </c>
      <c r="S31" s="175">
        <v>0</v>
      </c>
      <c r="T31" s="173">
        <v>2</v>
      </c>
      <c r="U31" s="219">
        <v>19</v>
      </c>
    </row>
    <row r="32" spans="1:21" ht="7.5" customHeight="1">
      <c r="A32" s="224"/>
      <c r="B32" s="209"/>
      <c r="C32" s="216"/>
      <c r="D32" s="42">
        <v>1</v>
      </c>
      <c r="E32" s="42">
        <f t="shared" si="1"/>
        <v>8</v>
      </c>
      <c r="F32" s="48">
        <v>5</v>
      </c>
      <c r="G32" s="48">
        <v>3</v>
      </c>
      <c r="H32" s="48">
        <v>8</v>
      </c>
      <c r="I32" s="197"/>
      <c r="J32" s="195"/>
      <c r="K32" s="176"/>
      <c r="L32" s="176"/>
      <c r="M32" s="174"/>
      <c r="N32" s="176"/>
      <c r="O32" s="176"/>
      <c r="P32" s="237"/>
      <c r="Q32" s="174"/>
      <c r="R32" s="176"/>
      <c r="S32" s="176"/>
      <c r="T32" s="174"/>
      <c r="U32" s="220"/>
    </row>
    <row r="33" spans="1:21" ht="14.25" customHeight="1">
      <c r="A33" s="224"/>
      <c r="B33" s="231" t="s">
        <v>52</v>
      </c>
      <c r="C33" s="232"/>
      <c r="D33" s="39">
        <v>3</v>
      </c>
      <c r="E33" s="39">
        <f t="shared" si="1"/>
        <v>2</v>
      </c>
      <c r="F33" s="51">
        <v>2</v>
      </c>
      <c r="G33" s="60">
        <v>0</v>
      </c>
      <c r="H33" s="51">
        <v>1</v>
      </c>
      <c r="I33" s="60">
        <v>0</v>
      </c>
      <c r="J33" s="57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61">
        <v>1</v>
      </c>
    </row>
    <row r="34" spans="1:21" ht="14.25" customHeight="1">
      <c r="A34" s="224"/>
      <c r="B34" s="193" t="s">
        <v>69</v>
      </c>
      <c r="C34" s="218"/>
      <c r="D34" s="54">
        <v>0</v>
      </c>
      <c r="E34" s="54">
        <f t="shared" si="1"/>
        <v>0</v>
      </c>
      <c r="F34" s="60">
        <v>0</v>
      </c>
      <c r="G34" s="60">
        <v>0</v>
      </c>
      <c r="H34" s="60">
        <v>0</v>
      </c>
      <c r="I34" s="60">
        <v>0</v>
      </c>
      <c r="J34" s="57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2">
        <v>0</v>
      </c>
    </row>
    <row r="35" spans="1:21" ht="14.25" customHeight="1">
      <c r="A35" s="233"/>
      <c r="B35" s="240" t="s">
        <v>58</v>
      </c>
      <c r="C35" s="241"/>
      <c r="D35" s="64">
        <v>39</v>
      </c>
      <c r="E35" s="64">
        <f t="shared" si="1"/>
        <v>35</v>
      </c>
      <c r="F35" s="64">
        <v>32</v>
      </c>
      <c r="G35" s="64">
        <v>3</v>
      </c>
      <c r="H35" s="64">
        <v>2</v>
      </c>
      <c r="I35" s="67">
        <v>1</v>
      </c>
      <c r="J35" s="65">
        <v>27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7">
        <v>5</v>
      </c>
    </row>
    <row r="36" spans="2:21" ht="9.75" customHeight="1">
      <c r="B36" s="32" t="s">
        <v>73</v>
      </c>
      <c r="F36" s="24"/>
      <c r="G36" s="25"/>
      <c r="H36" s="25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6:21" ht="6.75" customHeight="1"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9.75" customHeight="1">
      <c r="A38" s="13" t="s">
        <v>67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26"/>
      <c r="T38" s="25"/>
      <c r="U38" s="25"/>
    </row>
    <row r="39" spans="1:21" ht="11.25" customHeight="1">
      <c r="A39" s="221" t="s">
        <v>54</v>
      </c>
      <c r="B39" s="222"/>
      <c r="C39" s="92" t="s">
        <v>90</v>
      </c>
      <c r="D39" s="87">
        <v>16.3</v>
      </c>
      <c r="E39" s="68">
        <v>22.3</v>
      </c>
      <c r="F39" s="69">
        <v>23.3</v>
      </c>
      <c r="G39" s="69">
        <v>24.3</v>
      </c>
      <c r="H39" s="69">
        <v>25.3</v>
      </c>
      <c r="I39" s="69">
        <v>26.3</v>
      </c>
      <c r="J39" s="70">
        <v>27.3</v>
      </c>
      <c r="K39" s="68">
        <v>28.3</v>
      </c>
      <c r="L39" s="206">
        <v>29.3</v>
      </c>
      <c r="M39" s="207"/>
      <c r="N39" s="206">
        <v>30.3</v>
      </c>
      <c r="O39" s="207"/>
      <c r="P39" s="206">
        <v>31.3</v>
      </c>
      <c r="Q39" s="207"/>
      <c r="R39" s="206" t="s">
        <v>89</v>
      </c>
      <c r="S39" s="207"/>
      <c r="T39" s="187">
        <v>3.3</v>
      </c>
      <c r="U39" s="200"/>
    </row>
    <row r="40" spans="1:21" ht="11.25" customHeight="1">
      <c r="A40" s="229" t="s">
        <v>68</v>
      </c>
      <c r="B40" s="230"/>
      <c r="C40" s="83">
        <v>0.965</v>
      </c>
      <c r="D40" s="83">
        <v>0.975</v>
      </c>
      <c r="E40" s="72">
        <v>0.98</v>
      </c>
      <c r="F40" s="72">
        <v>0.981</v>
      </c>
      <c r="G40" s="72">
        <v>0.983</v>
      </c>
      <c r="H40" s="71">
        <v>0.985</v>
      </c>
      <c r="I40" s="72">
        <v>0.986</v>
      </c>
      <c r="J40" s="73">
        <v>0.986</v>
      </c>
      <c r="K40" s="71">
        <v>0.988</v>
      </c>
      <c r="L40" s="190">
        <v>0.989</v>
      </c>
      <c r="M40" s="191"/>
      <c r="N40" s="190">
        <v>0.989</v>
      </c>
      <c r="O40" s="191"/>
      <c r="P40" s="190">
        <v>0.988</v>
      </c>
      <c r="Q40" s="191"/>
      <c r="R40" s="190">
        <v>0.989</v>
      </c>
      <c r="S40" s="191"/>
      <c r="T40" s="201">
        <v>0.99</v>
      </c>
      <c r="U40" s="202"/>
    </row>
    <row r="41" spans="1:21" ht="11.25" customHeight="1">
      <c r="A41" s="227" t="s">
        <v>80</v>
      </c>
      <c r="B41" s="228"/>
      <c r="C41" s="84">
        <v>0.969</v>
      </c>
      <c r="D41" s="84">
        <v>0.975</v>
      </c>
      <c r="E41" s="75">
        <v>0.98</v>
      </c>
      <c r="F41" s="75">
        <v>0.982</v>
      </c>
      <c r="G41" s="75">
        <v>0.983</v>
      </c>
      <c r="H41" s="74">
        <v>0.984</v>
      </c>
      <c r="I41" s="75">
        <v>0.984</v>
      </c>
      <c r="J41" s="76">
        <v>0.985</v>
      </c>
      <c r="K41" s="74">
        <v>0.987</v>
      </c>
      <c r="L41" s="188">
        <v>0.988</v>
      </c>
      <c r="M41" s="189"/>
      <c r="N41" s="188">
        <v>0.988</v>
      </c>
      <c r="O41" s="189"/>
      <c r="P41" s="188">
        <v>0.988</v>
      </c>
      <c r="Q41" s="189"/>
      <c r="R41" s="188">
        <v>0.988</v>
      </c>
      <c r="S41" s="189"/>
      <c r="T41" s="203">
        <v>0.989</v>
      </c>
      <c r="U41" s="204"/>
    </row>
    <row r="42" spans="1:21" ht="11.25" customHeight="1">
      <c r="A42" s="251" t="s">
        <v>55</v>
      </c>
      <c r="B42" s="252"/>
      <c r="C42" s="85">
        <v>0.009</v>
      </c>
      <c r="D42" s="85">
        <v>0.006</v>
      </c>
      <c r="E42" s="78">
        <v>0.004</v>
      </c>
      <c r="F42" s="78">
        <v>0.003</v>
      </c>
      <c r="G42" s="78">
        <v>0.004</v>
      </c>
      <c r="H42" s="77">
        <v>0.003</v>
      </c>
      <c r="I42" s="78">
        <v>0.003</v>
      </c>
      <c r="J42" s="79">
        <v>0.003</v>
      </c>
      <c r="K42" s="77">
        <v>0.002</v>
      </c>
      <c r="L42" s="190">
        <v>0.003</v>
      </c>
      <c r="M42" s="191"/>
      <c r="N42" s="190">
        <v>0.002</v>
      </c>
      <c r="O42" s="191"/>
      <c r="P42" s="190">
        <v>0.001</v>
      </c>
      <c r="Q42" s="191"/>
      <c r="R42" s="198">
        <v>0.001</v>
      </c>
      <c r="S42" s="205"/>
      <c r="T42" s="198">
        <v>0.001</v>
      </c>
      <c r="U42" s="199"/>
    </row>
    <row r="43" spans="1:21" ht="11.25" customHeight="1">
      <c r="A43" s="249" t="s">
        <v>80</v>
      </c>
      <c r="B43" s="250"/>
      <c r="C43" s="86">
        <v>0.011</v>
      </c>
      <c r="D43" s="86">
        <v>0.007</v>
      </c>
      <c r="E43" s="81">
        <v>0.004</v>
      </c>
      <c r="F43" s="81">
        <v>0.004</v>
      </c>
      <c r="G43" s="81">
        <v>0.004</v>
      </c>
      <c r="H43" s="80">
        <v>0.004</v>
      </c>
      <c r="I43" s="81">
        <v>0.004</v>
      </c>
      <c r="J43" s="82">
        <v>0.004</v>
      </c>
      <c r="K43" s="80">
        <v>0.003</v>
      </c>
      <c r="L43" s="247">
        <v>0.003</v>
      </c>
      <c r="M43" s="248"/>
      <c r="N43" s="247">
        <v>0.002</v>
      </c>
      <c r="O43" s="248"/>
      <c r="P43" s="247">
        <v>0.002</v>
      </c>
      <c r="Q43" s="248"/>
      <c r="R43" s="242">
        <v>0.002</v>
      </c>
      <c r="S43" s="243"/>
      <c r="T43" s="244">
        <v>0.002</v>
      </c>
      <c r="U43" s="245"/>
    </row>
    <row r="44" spans="2:21" ht="9.75" customHeight="1">
      <c r="B44" s="32" t="s">
        <v>77</v>
      </c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</row>
    <row r="50" spans="3:12" ht="10.5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ht="10.5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ht="10.5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ht="10.5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7" ht="10.5">
      <c r="B57" s="11" t="s">
        <v>3</v>
      </c>
    </row>
  </sheetData>
  <sheetProtection/>
  <mergeCells count="180">
    <mergeCell ref="L43:M43"/>
    <mergeCell ref="N42:O42"/>
    <mergeCell ref="N43:O43"/>
    <mergeCell ref="P42:Q42"/>
    <mergeCell ref="P43:Q43"/>
    <mergeCell ref="A43:B43"/>
    <mergeCell ref="A42:B42"/>
    <mergeCell ref="R43:S43"/>
    <mergeCell ref="T43:U43"/>
    <mergeCell ref="J44:U44"/>
    <mergeCell ref="P31:P32"/>
    <mergeCell ref="Q31:Q32"/>
    <mergeCell ref="R31:R32"/>
    <mergeCell ref="S31:S32"/>
    <mergeCell ref="T31:T32"/>
    <mergeCell ref="L42:M42"/>
    <mergeCell ref="N41:O41"/>
    <mergeCell ref="I31:I32"/>
    <mergeCell ref="J31:J32"/>
    <mergeCell ref="K31:K32"/>
    <mergeCell ref="L31:L32"/>
    <mergeCell ref="M31:M32"/>
    <mergeCell ref="B35:C35"/>
    <mergeCell ref="B28:B32"/>
    <mergeCell ref="C28:C29"/>
    <mergeCell ref="I28:I29"/>
    <mergeCell ref="J28:J29"/>
    <mergeCell ref="Q28:Q29"/>
    <mergeCell ref="U31:U32"/>
    <mergeCell ref="S28:S29"/>
    <mergeCell ref="T28:T29"/>
    <mergeCell ref="U28:U29"/>
    <mergeCell ref="R28:R29"/>
    <mergeCell ref="K28:K29"/>
    <mergeCell ref="L28:L29"/>
    <mergeCell ref="N31:N32"/>
    <mergeCell ref="M28:M29"/>
    <mergeCell ref="N28:N29"/>
    <mergeCell ref="P24:P25"/>
    <mergeCell ref="M24:M25"/>
    <mergeCell ref="N24:N25"/>
    <mergeCell ref="O28:O29"/>
    <mergeCell ref="P28:P29"/>
    <mergeCell ref="T24:T25"/>
    <mergeCell ref="U24:U25"/>
    <mergeCell ref="U7:U8"/>
    <mergeCell ref="T19:T20"/>
    <mergeCell ref="U19:U20"/>
    <mergeCell ref="S7:S8"/>
    <mergeCell ref="T17:T18"/>
    <mergeCell ref="T22:T23"/>
    <mergeCell ref="U22:U23"/>
    <mergeCell ref="T11:T12"/>
    <mergeCell ref="G24:G25"/>
    <mergeCell ref="H24:H25"/>
    <mergeCell ref="I24:I25"/>
    <mergeCell ref="Q24:Q25"/>
    <mergeCell ref="R24:R25"/>
    <mergeCell ref="S24:S25"/>
    <mergeCell ref="J24:J25"/>
    <mergeCell ref="K24:K25"/>
    <mergeCell ref="L24:L25"/>
    <mergeCell ref="S4:S5"/>
    <mergeCell ref="U14:U15"/>
    <mergeCell ref="U17:U18"/>
    <mergeCell ref="T14:T15"/>
    <mergeCell ref="S9:S10"/>
    <mergeCell ref="R19:R20"/>
    <mergeCell ref="S19:S20"/>
    <mergeCell ref="S11:S12"/>
    <mergeCell ref="R11:R12"/>
    <mergeCell ref="U11:U12"/>
    <mergeCell ref="K19:K20"/>
    <mergeCell ref="L19:L20"/>
    <mergeCell ref="R22:R23"/>
    <mergeCell ref="L22:L23"/>
    <mergeCell ref="K17:K18"/>
    <mergeCell ref="K22:K23"/>
    <mergeCell ref="L17:L18"/>
    <mergeCell ref="M17:M18"/>
    <mergeCell ref="N17:N18"/>
    <mergeCell ref="Q22:Q23"/>
    <mergeCell ref="S14:S15"/>
    <mergeCell ref="P22:P23"/>
    <mergeCell ref="S17:S18"/>
    <mergeCell ref="R17:R18"/>
    <mergeCell ref="P17:P18"/>
    <mergeCell ref="S22:S23"/>
    <mergeCell ref="R14:R15"/>
    <mergeCell ref="Q19:Q20"/>
    <mergeCell ref="Q17:Q18"/>
    <mergeCell ref="P19:P20"/>
    <mergeCell ref="O17:O18"/>
    <mergeCell ref="J17:J18"/>
    <mergeCell ref="O14:O15"/>
    <mergeCell ref="M22:M23"/>
    <mergeCell ref="N22:N23"/>
    <mergeCell ref="O19:O20"/>
    <mergeCell ref="J22:J23"/>
    <mergeCell ref="N19:N20"/>
    <mergeCell ref="J19:J20"/>
    <mergeCell ref="N39:O39"/>
    <mergeCell ref="L40:M40"/>
    <mergeCell ref="O31:O32"/>
    <mergeCell ref="P39:Q39"/>
    <mergeCell ref="P40:Q40"/>
    <mergeCell ref="P41:Q41"/>
    <mergeCell ref="L39:M39"/>
    <mergeCell ref="L41:M41"/>
    <mergeCell ref="N40:O40"/>
    <mergeCell ref="C14:C15"/>
    <mergeCell ref="C17:C18"/>
    <mergeCell ref="A41:B41"/>
    <mergeCell ref="A40:B40"/>
    <mergeCell ref="B22:C23"/>
    <mergeCell ref="B33:C33"/>
    <mergeCell ref="C31:C32"/>
    <mergeCell ref="A22:A35"/>
    <mergeCell ref="B24:B27"/>
    <mergeCell ref="C24:C25"/>
    <mergeCell ref="I17:I18"/>
    <mergeCell ref="B34:C34"/>
    <mergeCell ref="I14:I15"/>
    <mergeCell ref="A39:B39"/>
    <mergeCell ref="A7:A21"/>
    <mergeCell ref="C11:C12"/>
    <mergeCell ref="B21:C21"/>
    <mergeCell ref="B9:B13"/>
    <mergeCell ref="I22:I23"/>
    <mergeCell ref="I19:I20"/>
    <mergeCell ref="B7:C8"/>
    <mergeCell ref="P7:P8"/>
    <mergeCell ref="B19:C20"/>
    <mergeCell ref="M19:M20"/>
    <mergeCell ref="P14:P15"/>
    <mergeCell ref="C9:C10"/>
    <mergeCell ref="M7:M8"/>
    <mergeCell ref="O9:O10"/>
    <mergeCell ref="F19:F20"/>
    <mergeCell ref="B14:B18"/>
    <mergeCell ref="L7:L8"/>
    <mergeCell ref="M9:M10"/>
    <mergeCell ref="L14:L15"/>
    <mergeCell ref="Q11:Q12"/>
    <mergeCell ref="T42:U42"/>
    <mergeCell ref="T39:U39"/>
    <mergeCell ref="T40:U40"/>
    <mergeCell ref="T41:U41"/>
    <mergeCell ref="R42:S42"/>
    <mergeCell ref="R39:S39"/>
    <mergeCell ref="R41:S41"/>
    <mergeCell ref="R40:S40"/>
    <mergeCell ref="A4:B6"/>
    <mergeCell ref="N14:N15"/>
    <mergeCell ref="N4:N5"/>
    <mergeCell ref="J14:J15"/>
    <mergeCell ref="L9:L10"/>
    <mergeCell ref="Q9:Q10"/>
    <mergeCell ref="O11:O12"/>
    <mergeCell ref="P4:P5"/>
    <mergeCell ref="P11:P12"/>
    <mergeCell ref="A2:C3"/>
    <mergeCell ref="C4:C5"/>
    <mergeCell ref="L4:L5"/>
    <mergeCell ref="K11:K12"/>
    <mergeCell ref="J11:J12"/>
    <mergeCell ref="E2:G2"/>
    <mergeCell ref="H2:U2"/>
    <mergeCell ref="M4:M5"/>
    <mergeCell ref="P9:P10"/>
    <mergeCell ref="D24:D25"/>
    <mergeCell ref="M11:M12"/>
    <mergeCell ref="L11:L12"/>
    <mergeCell ref="O7:O8"/>
    <mergeCell ref="N11:N12"/>
    <mergeCell ref="N9:N10"/>
    <mergeCell ref="F11:F12"/>
    <mergeCell ref="N7:N8"/>
    <mergeCell ref="I11:I12"/>
    <mergeCell ref="M14:M15"/>
  </mergeCells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2022-02-21T06:18:51Z</cp:lastPrinted>
  <dcterms:created xsi:type="dcterms:W3CDTF">2007-02-22T08:07:55Z</dcterms:created>
  <dcterms:modified xsi:type="dcterms:W3CDTF">2022-02-24T09:47:36Z</dcterms:modified>
  <cp:category/>
  <cp:version/>
  <cp:contentType/>
  <cp:contentStatus/>
</cp:coreProperties>
</file>